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 INGRESOS PROYECT LINEAL" sheetId="1" r:id="rId1"/>
    <sheet name="GASTOS PROYECT" sheetId="2" r:id="rId2"/>
  </sheets>
  <definedNames/>
  <calcPr fullCalcOnLoad="1"/>
</workbook>
</file>

<file path=xl/sharedStrings.xml><?xml version="1.0" encoding="utf-8"?>
<sst xmlns="http://schemas.openxmlformats.org/spreadsheetml/2006/main" count="151" uniqueCount="116">
  <si>
    <t>SERVICIO DE SALUD VIÑA DEL MAR-QUILLOTA</t>
  </si>
  <si>
    <t>SERVICIO DE BIENESTAR</t>
  </si>
  <si>
    <t>CODIGO</t>
  </si>
  <si>
    <t>INGRESOS  DE OPERACION</t>
  </si>
  <si>
    <t>CLUB DE CAMPO</t>
  </si>
  <si>
    <t>TOTAL ITEM</t>
  </si>
  <si>
    <t>INTERESES Y COMISIONES</t>
  </si>
  <si>
    <t>INTERESES DE PRESTAMOS</t>
  </si>
  <si>
    <t>COMISIONES</t>
  </si>
  <si>
    <t>APORTES REGLAMENTARIOS</t>
  </si>
  <si>
    <t>APORTES DE LOS AF.ACT.</t>
  </si>
  <si>
    <t>APORTES DE LOS AF.PAS.</t>
  </si>
  <si>
    <t>INGRESOS VARIOS</t>
  </si>
  <si>
    <t>OTROS INGRESOS</t>
  </si>
  <si>
    <t>AMORTIZACION PRESTAMOS</t>
  </si>
  <si>
    <t>AMORT.PREST.MEDICOS</t>
  </si>
  <si>
    <t>AMORT.PREST.PERSON.</t>
  </si>
  <si>
    <t>AMORT.PREST.HABIT.</t>
  </si>
  <si>
    <t>TRANSF.CASAS COMERCIALES</t>
  </si>
  <si>
    <t>DESCTO.DE CASAS</t>
  </si>
  <si>
    <t>CUENTA CORRIENTE</t>
  </si>
  <si>
    <t>TOTAL GENERAL</t>
  </si>
  <si>
    <t>GASTOS DE OPERACION</t>
  </si>
  <si>
    <t>BENEFICIOS MEDICOS FONASA</t>
  </si>
  <si>
    <t>CONSULTA MEDICA</t>
  </si>
  <si>
    <t>INTERVENCION QUIRURGICA</t>
  </si>
  <si>
    <t>EXAMENES LABORATORIO</t>
  </si>
  <si>
    <t>EXAMENES RAYOS X</t>
  </si>
  <si>
    <t>EXAMENES ESP. MEDICOS</t>
  </si>
  <si>
    <t>EXAMENES HISTOPATOLOGICOS</t>
  </si>
  <si>
    <t>HOSPITALIZACIONES</t>
  </si>
  <si>
    <t>ATENCION OBSTETRICA</t>
  </si>
  <si>
    <t>TRAT.ESPEC. MEDICO</t>
  </si>
  <si>
    <t>TRAT. ESP. PARAMEDICO</t>
  </si>
  <si>
    <t>ADQUISICION ANTEOJOS</t>
  </si>
  <si>
    <t>APARATO ORTOPEDICO</t>
  </si>
  <si>
    <t>AUDIFONO</t>
  </si>
  <si>
    <t>MEDICAMENTOS</t>
  </si>
  <si>
    <t>OTROS TRATAMIENTOS</t>
  </si>
  <si>
    <t>BENEFICIOS MEDICOS ISAPRE</t>
  </si>
  <si>
    <t xml:space="preserve">EXAMEN RAYOS X </t>
  </si>
  <si>
    <t>EXAMEN ESP. MEDICOS</t>
  </si>
  <si>
    <t>EXAMEN HISTOPATOLOGICOS</t>
  </si>
  <si>
    <t>SUBSIDIOS</t>
  </si>
  <si>
    <t>MATRIMONIO</t>
  </si>
  <si>
    <t>NACIMIENTO</t>
  </si>
  <si>
    <t>FALLECIMIENTO</t>
  </si>
  <si>
    <t>AYUDA MEDICA</t>
  </si>
  <si>
    <t>EDUCACION</t>
  </si>
  <si>
    <t>BECAS DE ESTUDIO</t>
  </si>
  <si>
    <t>CATASTROFE</t>
  </si>
  <si>
    <t>BENEFICIOS FACULTATIVOS</t>
  </si>
  <si>
    <t xml:space="preserve">ACTIV. EDU.Y CULTURALES </t>
  </si>
  <si>
    <t>JARDIN INFANTIL</t>
  </si>
  <si>
    <t>BIBLIOTECA</t>
  </si>
  <si>
    <t>INVERSION FINANCIERA</t>
  </si>
  <si>
    <t>PRESTAMO MEDICO</t>
  </si>
  <si>
    <t>PRESTAMO PERSONAL</t>
  </si>
  <si>
    <t>PRESTAMO HABITACIONAL</t>
  </si>
  <si>
    <t>TRANSF. CASAS COMERCIALES</t>
  </si>
  <si>
    <t>AMORTIZACION CASA COMERCIAL</t>
  </si>
  <si>
    <t>ATENCIONES ODONTOLOGICAS</t>
  </si>
  <si>
    <t>ATENCIONES ODONTOLOGICAS ISAPRE</t>
  </si>
  <si>
    <t>GASTOS PENDIENTES EJERCICIOS ANT.</t>
  </si>
  <si>
    <t>CUENTAS POR PAGAR CASAS COMERCIALES</t>
  </si>
  <si>
    <t>APORTES DE LA INST.</t>
  </si>
  <si>
    <t>TOTAL EXCEDENTES</t>
  </si>
  <si>
    <t>CUENTAS- DENOMINACIÓN</t>
  </si>
  <si>
    <t>INGRESOS PROYECTADOS AL 31/12/2014</t>
  </si>
  <si>
    <t>,</t>
  </si>
  <si>
    <t>CÓDIGO</t>
  </si>
  <si>
    <t>PRESUPUESTO- INGRESO</t>
  </si>
  <si>
    <t>SALUD DE LOS FUNCIONARIOS</t>
  </si>
  <si>
    <t>DUODECIMO AL 06/10/2014</t>
  </si>
  <si>
    <t>CALIDAD DE VIDA</t>
  </si>
  <si>
    <t>CLUBES ESCOLARES</t>
  </si>
  <si>
    <t>FOLCLORE</t>
  </si>
  <si>
    <t>PROGRAMA PREVENTIVO</t>
  </si>
  <si>
    <t>OLIMPIADAS</t>
  </si>
  <si>
    <t>REGALO NAVIDAD</t>
  </si>
  <si>
    <t>NAVIDAD (CELEBRACION INFANTIL)</t>
  </si>
  <si>
    <t>OTROS RECURSOS</t>
  </si>
  <si>
    <t>CUENTA POR COBRAR CAS. COM</t>
  </si>
  <si>
    <t xml:space="preserve"> </t>
  </si>
  <si>
    <t>APORTE EXTRAORDINARIO</t>
  </si>
  <si>
    <t>COMITÉ DE BIENESTAR LOCAL</t>
  </si>
  <si>
    <t>MOVIMIENTO EJECUCIÓN DE INGRESOS 2015</t>
  </si>
  <si>
    <t>DIFERENCIA PROYECTADA AL 31/12/2015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</si>
  <si>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</si>
  <si>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</si>
  <si>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</si>
  <si>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</si>
  <si>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</si>
  <si>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</si>
  <si>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</si>
  <si>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</si>
  <si>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</si>
  <si>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</si>
  <si>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</si>
  <si>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</si>
  <si>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GASTOS PROYECTADOS </t>
  </si>
  <si>
    <t>PROGRAMA DESVINCULACION</t>
  </si>
  <si>
    <t>EJECUCION 2014</t>
  </si>
  <si>
    <t>PROYECCION DIF DIC</t>
  </si>
  <si>
    <t>PROYECCION AJUSTADA</t>
  </si>
  <si>
    <t>PROYECCION 4 DIF 2013/2014 POR MES</t>
  </si>
  <si>
    <t>PROYECCION 3 DIF 2013/2014</t>
  </si>
  <si>
    <t>PROYECCION ANUAL LINEAL</t>
  </si>
  <si>
    <t>TOTAL PROYECCION 1 7%</t>
  </si>
  <si>
    <t>PRESUPUESTO GASTO</t>
  </si>
  <si>
    <t>MOVIMIENTO DE GASTOS EJECUCIÓN 2015</t>
  </si>
  <si>
    <t>PROYECCION ANUAL</t>
  </si>
  <si>
    <t>EJECUCION REAL AL 30/11/2015</t>
  </si>
  <si>
    <t>INGRESO EJECUTADO AL 30/11/2015</t>
  </si>
  <si>
    <t xml:space="preserve">     RESUMEN ANÁLISIS FINANCIERO PROYECTADO AL 30 DE NOVIEMBRE 2015</t>
  </si>
  <si>
    <t>PROYECCIÓN AL 30/11/2015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</si>
</sst>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#,##0.0000"/>
    <numFmt numFmtId="168" formatCode="0.0%"/>
    <numFmt numFmtId="169" formatCode="[$-340A]dddd\,\ dd&quot; de &quot;mmmm&quot; de &quot;yyyy"/>
    <numFmt numFmtId="170" formatCode="_-&quot;$&quot;\ * #,##0.000_-;\-&quot;$&quot;\ * #,##0.000_-;_-&quot;$&quot;\ * &quot;-&quot;??_-;_-@_-"/>
    <numFmt numFmtId="171" formatCode="0.000%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#,##0.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62"/>
      <name val="Calibri"/>
      <family val="2"/>
    </font>
    <font>
      <b/>
      <i/>
      <u val="single"/>
      <sz val="12"/>
      <color indexed="62"/>
      <name val="Calibri"/>
      <family val="2"/>
    </font>
    <font>
      <b/>
      <i/>
      <sz val="11"/>
      <color indexed="6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color indexed="62"/>
      <name val="Calibri"/>
      <family val="2"/>
    </font>
    <font>
      <b/>
      <sz val="9"/>
      <color indexed="12"/>
      <name val="Calibri"/>
      <family val="2"/>
    </font>
    <font>
      <b/>
      <sz val="9"/>
      <color indexed="3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49"/>
      <name val="Calibri"/>
      <family val="2"/>
    </font>
    <font>
      <b/>
      <i/>
      <u val="single"/>
      <sz val="11"/>
      <color indexed="62"/>
      <name val="Calibri"/>
      <family val="2"/>
    </font>
    <font>
      <b/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4" tint="-0.4999699890613556"/>
      <name val="Calibri"/>
      <family val="2"/>
    </font>
    <font>
      <b/>
      <i/>
      <u val="single"/>
      <sz val="12"/>
      <color theme="4" tint="-0.4999699890613556"/>
      <name val="Calibri"/>
      <family val="2"/>
    </font>
    <font>
      <b/>
      <i/>
      <sz val="11"/>
      <color theme="4" tint="-0.4999699890613556"/>
      <name val="Calibri"/>
      <family val="2"/>
    </font>
    <font>
      <b/>
      <i/>
      <sz val="9"/>
      <color theme="4" tint="-0.4999699890613556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b/>
      <i/>
      <u val="single"/>
      <sz val="11"/>
      <color theme="4" tint="-0.4999699890613556"/>
      <name val="Calibri"/>
      <family val="2"/>
    </font>
    <font>
      <b/>
      <sz val="9"/>
      <color theme="4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2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63" fillId="0" borderId="1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14" fontId="34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11" xfId="0" applyFont="1" applyFill="1" applyBorder="1" applyAlignment="1">
      <alignment horizontal="left"/>
    </xf>
    <xf numFmtId="0" fontId="36" fillId="0" borderId="12" xfId="0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3" fontId="35" fillId="33" borderId="14" xfId="0" applyNumberFormat="1" applyFont="1" applyFill="1" applyBorder="1" applyAlignment="1">
      <alignment/>
    </xf>
    <xf numFmtId="0" fontId="35" fillId="8" borderId="15" xfId="0" applyFont="1" applyFill="1" applyBorder="1" applyAlignment="1">
      <alignment/>
    </xf>
    <xf numFmtId="0" fontId="35" fillId="8" borderId="16" xfId="0" applyFont="1" applyFill="1" applyBorder="1" applyAlignment="1">
      <alignment/>
    </xf>
    <xf numFmtId="3" fontId="35" fillId="8" borderId="16" xfId="0" applyNumberFormat="1" applyFont="1" applyFill="1" applyBorder="1" applyAlignment="1">
      <alignment/>
    </xf>
    <xf numFmtId="3" fontId="35" fillId="8" borderId="17" xfId="0" applyNumberFormat="1" applyFont="1" applyFill="1" applyBorder="1" applyAlignment="1">
      <alignment/>
    </xf>
    <xf numFmtId="3" fontId="35" fillId="8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0" fontId="36" fillId="32" borderId="10" xfId="0" applyFont="1" applyFill="1" applyBorder="1" applyAlignment="1">
      <alignment vertical="center"/>
    </xf>
    <xf numFmtId="0" fontId="35" fillId="32" borderId="19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vertical="center"/>
    </xf>
    <xf numFmtId="3" fontId="36" fillId="0" borderId="19" xfId="0" applyNumberFormat="1" applyFont="1" applyFill="1" applyBorder="1" applyAlignment="1">
      <alignment vertical="center"/>
    </xf>
    <xf numFmtId="0" fontId="35" fillId="34" borderId="21" xfId="0" applyFont="1" applyFill="1" applyBorder="1" applyAlignment="1">
      <alignment vertical="center"/>
    </xf>
    <xf numFmtId="3" fontId="35" fillId="34" borderId="21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5" fillId="32" borderId="22" xfId="0" applyFont="1" applyFill="1" applyBorder="1" applyAlignment="1">
      <alignment horizontal="left" vertical="center"/>
    </xf>
    <xf numFmtId="3" fontId="36" fillId="32" borderId="23" xfId="0" applyNumberFormat="1" applyFont="1" applyFill="1" applyBorder="1" applyAlignment="1">
      <alignment vertical="center"/>
    </xf>
    <xf numFmtId="3" fontId="35" fillId="32" borderId="24" xfId="0" applyNumberFormat="1" applyFont="1" applyFill="1" applyBorder="1" applyAlignment="1">
      <alignment vertical="center"/>
    </xf>
    <xf numFmtId="3" fontId="35" fillId="33" borderId="25" xfId="0" applyNumberFormat="1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3" fontId="35" fillId="34" borderId="23" xfId="0" applyNumberFormat="1" applyFont="1" applyFill="1" applyBorder="1" applyAlignment="1">
      <alignment vertical="center"/>
    </xf>
    <xf numFmtId="3" fontId="35" fillId="34" borderId="24" xfId="0" applyNumberFormat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 vertical="center"/>
    </xf>
    <xf numFmtId="3" fontId="35" fillId="33" borderId="2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/>
    </xf>
    <xf numFmtId="3" fontId="64" fillId="33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3" fillId="0" borderId="27" xfId="0" applyFont="1" applyFill="1" applyBorder="1" applyAlignment="1">
      <alignment wrapText="1"/>
    </xf>
    <xf numFmtId="0" fontId="63" fillId="0" borderId="28" xfId="0" applyFont="1" applyFill="1" applyBorder="1" applyAlignment="1">
      <alignment wrapText="1"/>
    </xf>
    <xf numFmtId="0" fontId="36" fillId="0" borderId="29" xfId="0" applyFont="1" applyFill="1" applyBorder="1" applyAlignment="1">
      <alignment horizontal="left"/>
    </xf>
    <xf numFmtId="0" fontId="36" fillId="0" borderId="30" xfId="0" applyFont="1" applyFill="1" applyBorder="1" applyAlignment="1">
      <alignment/>
    </xf>
    <xf numFmtId="3" fontId="36" fillId="0" borderId="30" xfId="0" applyNumberFormat="1" applyFont="1" applyFill="1" applyBorder="1" applyAlignment="1">
      <alignment/>
    </xf>
    <xf numFmtId="3" fontId="36" fillId="0" borderId="31" xfId="0" applyNumberFormat="1" applyFont="1" applyFill="1" applyBorder="1" applyAlignment="1">
      <alignment horizontal="right"/>
    </xf>
    <xf numFmtId="3" fontId="36" fillId="0" borderId="31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/>
    </xf>
    <xf numFmtId="0" fontId="35" fillId="32" borderId="21" xfId="0" applyFont="1" applyFill="1" applyBorder="1" applyAlignment="1">
      <alignment vertical="center"/>
    </xf>
    <xf numFmtId="0" fontId="36" fillId="33" borderId="33" xfId="0" applyFont="1" applyFill="1" applyBorder="1" applyAlignment="1">
      <alignment vertical="center"/>
    </xf>
    <xf numFmtId="3" fontId="36" fillId="32" borderId="21" xfId="0" applyNumberFormat="1" applyFont="1" applyFill="1" applyBorder="1" applyAlignment="1">
      <alignment vertical="center"/>
    </xf>
    <xf numFmtId="3" fontId="35" fillId="32" borderId="21" xfId="0" applyNumberFormat="1" applyFont="1" applyFill="1" applyBorder="1" applyAlignment="1">
      <alignment vertical="center"/>
    </xf>
    <xf numFmtId="3" fontId="35" fillId="33" borderId="34" xfId="0" applyNumberFormat="1" applyFont="1" applyFill="1" applyBorder="1" applyAlignment="1">
      <alignment vertical="center"/>
    </xf>
    <xf numFmtId="3" fontId="35" fillId="33" borderId="33" xfId="0" applyNumberFormat="1" applyFont="1" applyFill="1" applyBorder="1" applyAlignment="1">
      <alignment vertical="center"/>
    </xf>
    <xf numFmtId="0" fontId="35" fillId="34" borderId="22" xfId="0" applyFont="1" applyFill="1" applyBorder="1" applyAlignment="1">
      <alignment vertical="center"/>
    </xf>
    <xf numFmtId="3" fontId="35" fillId="33" borderId="20" xfId="0" applyNumberFormat="1" applyFont="1" applyFill="1" applyBorder="1" applyAlignment="1">
      <alignment vertical="center"/>
    </xf>
    <xf numFmtId="0" fontId="35" fillId="32" borderId="22" xfId="0" applyFont="1" applyFill="1" applyBorder="1" applyAlignment="1">
      <alignment vertical="center"/>
    </xf>
    <xf numFmtId="0" fontId="36" fillId="32" borderId="23" xfId="0" applyFont="1" applyFill="1" applyBorder="1" applyAlignment="1">
      <alignment horizontal="center"/>
    </xf>
    <xf numFmtId="3" fontId="35" fillId="33" borderId="35" xfId="0" applyNumberFormat="1" applyFont="1" applyFill="1" applyBorder="1" applyAlignment="1">
      <alignment/>
    </xf>
    <xf numFmtId="3" fontId="35" fillId="32" borderId="18" xfId="0" applyNumberFormat="1" applyFont="1" applyFill="1" applyBorder="1" applyAlignment="1">
      <alignment/>
    </xf>
    <xf numFmtId="0" fontId="35" fillId="32" borderId="23" xfId="0" applyFont="1" applyFill="1" applyBorder="1" applyAlignment="1">
      <alignment horizontal="center"/>
    </xf>
    <xf numFmtId="3" fontId="35" fillId="33" borderId="36" xfId="0" applyNumberFormat="1" applyFont="1" applyFill="1" applyBorder="1" applyAlignment="1">
      <alignment/>
    </xf>
    <xf numFmtId="0" fontId="38" fillId="32" borderId="23" xfId="0" applyFont="1" applyFill="1" applyBorder="1" applyAlignment="1">
      <alignment horizontal="center"/>
    </xf>
    <xf numFmtId="3" fontId="35" fillId="32" borderId="23" xfId="0" applyNumberFormat="1" applyFont="1" applyFill="1" applyBorder="1" applyAlignment="1">
      <alignment/>
    </xf>
    <xf numFmtId="0" fontId="36" fillId="32" borderId="15" xfId="0" applyFont="1" applyFill="1" applyBorder="1" applyAlignment="1">
      <alignment/>
    </xf>
    <xf numFmtId="0" fontId="35" fillId="32" borderId="16" xfId="0" applyFont="1" applyFill="1" applyBorder="1" applyAlignment="1">
      <alignment/>
    </xf>
    <xf numFmtId="0" fontId="36" fillId="32" borderId="18" xfId="0" applyFont="1" applyFill="1" applyBorder="1" applyAlignment="1">
      <alignment horizontal="center"/>
    </xf>
    <xf numFmtId="0" fontId="36" fillId="33" borderId="37" xfId="0" applyFont="1" applyFill="1" applyBorder="1" applyAlignment="1">
      <alignment horizontal="left" vertical="center"/>
    </xf>
    <xf numFmtId="0" fontId="36" fillId="33" borderId="34" xfId="0" applyFont="1" applyFill="1" applyBorder="1" applyAlignment="1">
      <alignment vertical="center"/>
    </xf>
    <xf numFmtId="0" fontId="36" fillId="33" borderId="38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vertical="center"/>
    </xf>
    <xf numFmtId="165" fontId="36" fillId="33" borderId="39" xfId="0" applyNumberFormat="1" applyFont="1" applyFill="1" applyBorder="1" applyAlignment="1">
      <alignment horizontal="left" vertical="center"/>
    </xf>
    <xf numFmtId="0" fontId="36" fillId="33" borderId="40" xfId="0" applyFont="1" applyFill="1" applyBorder="1" applyAlignment="1">
      <alignment vertical="center"/>
    </xf>
    <xf numFmtId="3" fontId="36" fillId="32" borderId="18" xfId="0" applyNumberFormat="1" applyFont="1" applyFill="1" applyBorder="1" applyAlignment="1">
      <alignment vertical="center"/>
    </xf>
    <xf numFmtId="3" fontId="36" fillId="32" borderId="24" xfId="0" applyNumberFormat="1" applyFont="1" applyFill="1" applyBorder="1" applyAlignment="1">
      <alignment vertical="center"/>
    </xf>
    <xf numFmtId="3" fontId="35" fillId="32" borderId="22" xfId="0" applyNumberFormat="1" applyFont="1" applyFill="1" applyBorder="1" applyAlignment="1">
      <alignment vertical="center"/>
    </xf>
    <xf numFmtId="3" fontId="36" fillId="33" borderId="41" xfId="0" applyNumberFormat="1" applyFont="1" applyFill="1" applyBorder="1" applyAlignment="1">
      <alignment vertical="center"/>
    </xf>
    <xf numFmtId="3" fontId="36" fillId="33" borderId="12" xfId="0" applyNumberFormat="1" applyFont="1" applyFill="1" applyBorder="1" applyAlignment="1">
      <alignment vertical="center"/>
    </xf>
    <xf numFmtId="3" fontId="35" fillId="34" borderId="42" xfId="0" applyNumberFormat="1" applyFont="1" applyFill="1" applyBorder="1" applyAlignment="1">
      <alignment vertical="center"/>
    </xf>
    <xf numFmtId="3" fontId="35" fillId="35" borderId="25" xfId="0" applyNumberFormat="1" applyFont="1" applyFill="1" applyBorder="1" applyAlignment="1">
      <alignment vertical="center"/>
    </xf>
    <xf numFmtId="3" fontId="35" fillId="33" borderId="10" xfId="0" applyNumberFormat="1" applyFont="1" applyFill="1" applyBorder="1" applyAlignment="1">
      <alignment vertical="center"/>
    </xf>
    <xf numFmtId="3" fontId="36" fillId="32" borderId="43" xfId="0" applyNumberFormat="1" applyFont="1" applyFill="1" applyBorder="1" applyAlignment="1">
      <alignment vertical="center"/>
    </xf>
    <xf numFmtId="0" fontId="36" fillId="32" borderId="44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5" fillId="32" borderId="22" xfId="0" applyFont="1" applyFill="1" applyBorder="1" applyAlignment="1">
      <alignment horizontal="center" vertical="center"/>
    </xf>
    <xf numFmtId="3" fontId="65" fillId="33" borderId="34" xfId="0" applyNumberFormat="1" applyFont="1" applyFill="1" applyBorder="1" applyAlignment="1">
      <alignment vertical="center"/>
    </xf>
    <xf numFmtId="3" fontId="65" fillId="33" borderId="33" xfId="0" applyNumberFormat="1" applyFont="1" applyFill="1" applyBorder="1" applyAlignment="1">
      <alignment vertical="center"/>
    </xf>
    <xf numFmtId="3" fontId="35" fillId="33" borderId="45" xfId="0" applyNumberFormat="1" applyFont="1" applyFill="1" applyBorder="1" applyAlignment="1">
      <alignment vertical="center"/>
    </xf>
    <xf numFmtId="0" fontId="35" fillId="34" borderId="46" xfId="0" applyFont="1" applyFill="1" applyBorder="1" applyAlignment="1">
      <alignment/>
    </xf>
    <xf numFmtId="0" fontId="35" fillId="34" borderId="47" xfId="0" applyFont="1" applyFill="1" applyBorder="1" applyAlignment="1">
      <alignment/>
    </xf>
    <xf numFmtId="3" fontId="35" fillId="34" borderId="47" xfId="0" applyNumberFormat="1" applyFont="1" applyFill="1" applyBorder="1" applyAlignment="1">
      <alignment/>
    </xf>
    <xf numFmtId="3" fontId="35" fillId="34" borderId="48" xfId="0" applyNumberFormat="1" applyFont="1" applyFill="1" applyBorder="1" applyAlignment="1">
      <alignment/>
    </xf>
    <xf numFmtId="3" fontId="35" fillId="34" borderId="49" xfId="0" applyNumberFormat="1" applyFont="1" applyFill="1" applyBorder="1" applyAlignment="1">
      <alignment/>
    </xf>
    <xf numFmtId="0" fontId="36" fillId="0" borderId="15" xfId="0" applyFont="1" applyFill="1" applyBorder="1" applyAlignment="1">
      <alignment horizontal="left"/>
    </xf>
    <xf numFmtId="0" fontId="36" fillId="0" borderId="16" xfId="0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3" fontId="36" fillId="0" borderId="17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3" fontId="63" fillId="0" borderId="20" xfId="0" applyNumberFormat="1" applyFont="1" applyFill="1" applyBorder="1" applyAlignment="1">
      <alignment horizontal="right"/>
    </xf>
    <xf numFmtId="3" fontId="63" fillId="8" borderId="21" xfId="0" applyNumberFormat="1" applyFont="1" applyFill="1" applyBorder="1" applyAlignment="1">
      <alignment horizontal="right"/>
    </xf>
    <xf numFmtId="3" fontId="36" fillId="33" borderId="50" xfId="0" applyNumberFormat="1" applyFont="1" applyFill="1" applyBorder="1" applyAlignment="1">
      <alignment vertical="center"/>
    </xf>
    <xf numFmtId="0" fontId="36" fillId="0" borderId="51" xfId="0" applyFont="1" applyFill="1" applyBorder="1" applyAlignment="1">
      <alignment horizontal="left"/>
    </xf>
    <xf numFmtId="0" fontId="36" fillId="0" borderId="50" xfId="0" applyFont="1" applyFill="1" applyBorder="1" applyAlignment="1">
      <alignment/>
    </xf>
    <xf numFmtId="3" fontId="36" fillId="0" borderId="50" xfId="0" applyNumberFormat="1" applyFont="1" applyFill="1" applyBorder="1" applyAlignment="1">
      <alignment/>
    </xf>
    <xf numFmtId="3" fontId="36" fillId="0" borderId="52" xfId="0" applyNumberFormat="1" applyFont="1" applyFill="1" applyBorder="1" applyAlignment="1">
      <alignment/>
    </xf>
    <xf numFmtId="0" fontId="35" fillId="32" borderId="15" xfId="0" applyFont="1" applyFill="1" applyBorder="1" applyAlignment="1">
      <alignment horizontal="center"/>
    </xf>
    <xf numFmtId="0" fontId="35" fillId="32" borderId="16" xfId="0" applyFont="1" applyFill="1" applyBorder="1" applyAlignment="1">
      <alignment/>
    </xf>
    <xf numFmtId="3" fontId="36" fillId="0" borderId="52" xfId="0" applyNumberFormat="1" applyFont="1" applyFill="1" applyBorder="1" applyAlignment="1">
      <alignment horizontal="right"/>
    </xf>
    <xf numFmtId="0" fontId="35" fillId="32" borderId="16" xfId="0" applyFont="1" applyFill="1" applyBorder="1" applyAlignment="1">
      <alignment horizontal="left"/>
    </xf>
    <xf numFmtId="0" fontId="35" fillId="32" borderId="15" xfId="0" applyFont="1" applyFill="1" applyBorder="1" applyAlignment="1">
      <alignment/>
    </xf>
    <xf numFmtId="0" fontId="35" fillId="32" borderId="23" xfId="0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/>
    </xf>
    <xf numFmtId="0" fontId="35" fillId="34" borderId="16" xfId="0" applyFont="1" applyFill="1" applyBorder="1" applyAlignment="1">
      <alignment/>
    </xf>
    <xf numFmtId="3" fontId="35" fillId="34" borderId="16" xfId="0" applyNumberFormat="1" applyFont="1" applyFill="1" applyBorder="1" applyAlignment="1">
      <alignment/>
    </xf>
    <xf numFmtId="3" fontId="35" fillId="34" borderId="17" xfId="0" applyNumberFormat="1" applyFont="1" applyFill="1" applyBorder="1" applyAlignment="1">
      <alignment/>
    </xf>
    <xf numFmtId="3" fontId="35" fillId="34" borderId="18" xfId="0" applyNumberFormat="1" applyFont="1" applyFill="1" applyBorder="1" applyAlignment="1">
      <alignment/>
    </xf>
    <xf numFmtId="3" fontId="35" fillId="34" borderId="17" xfId="0" applyNumberFormat="1" applyFont="1" applyFill="1" applyBorder="1" applyAlignment="1">
      <alignment horizontal="right"/>
    </xf>
    <xf numFmtId="0" fontId="36" fillId="0" borderId="53" xfId="0" applyFont="1" applyFill="1" applyBorder="1" applyAlignment="1">
      <alignment horizontal="left"/>
    </xf>
    <xf numFmtId="0" fontId="36" fillId="0" borderId="26" xfId="0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3" fontId="36" fillId="0" borderId="54" xfId="0" applyNumberFormat="1" applyFont="1" applyFill="1" applyBorder="1" applyAlignment="1">
      <alignment/>
    </xf>
    <xf numFmtId="3" fontId="36" fillId="0" borderId="54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/>
    </xf>
    <xf numFmtId="0" fontId="35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3" fontId="35" fillId="8" borderId="18" xfId="0" applyNumberFormat="1" applyFont="1" applyFill="1" applyBorder="1" applyAlignment="1">
      <alignment vertical="center"/>
    </xf>
    <xf numFmtId="3" fontId="35" fillId="8" borderId="17" xfId="0" applyNumberFormat="1" applyFont="1" applyFill="1" applyBorder="1" applyAlignment="1">
      <alignment vertical="center"/>
    </xf>
    <xf numFmtId="3" fontId="35" fillId="8" borderId="16" xfId="0" applyNumberFormat="1" applyFont="1" applyFill="1" applyBorder="1" applyAlignment="1">
      <alignment vertical="center"/>
    </xf>
    <xf numFmtId="3" fontId="35" fillId="34" borderId="55" xfId="0" applyNumberFormat="1" applyFont="1" applyFill="1" applyBorder="1" applyAlignment="1">
      <alignment vertical="center"/>
    </xf>
    <xf numFmtId="3" fontId="35" fillId="34" borderId="56" xfId="0" applyNumberFormat="1" applyFont="1" applyFill="1" applyBorder="1" applyAlignment="1">
      <alignment vertical="center"/>
    </xf>
    <xf numFmtId="3" fontId="35" fillId="34" borderId="56" xfId="0" applyNumberFormat="1" applyFont="1" applyFill="1" applyBorder="1" applyAlignment="1">
      <alignment horizontal="right" vertical="center"/>
    </xf>
    <xf numFmtId="3" fontId="35" fillId="34" borderId="57" xfId="0" applyNumberFormat="1" applyFont="1" applyFill="1" applyBorder="1" applyAlignment="1">
      <alignment horizontal="right" vertical="center"/>
    </xf>
    <xf numFmtId="3" fontId="35" fillId="34" borderId="57" xfId="0" applyNumberFormat="1" applyFont="1" applyFill="1" applyBorder="1" applyAlignment="1">
      <alignment vertical="center"/>
    </xf>
    <xf numFmtId="0" fontId="35" fillId="34" borderId="57" xfId="0" applyFont="1" applyFill="1" applyBorder="1" applyAlignment="1">
      <alignment vertical="center"/>
    </xf>
    <xf numFmtId="0" fontId="35" fillId="34" borderId="58" xfId="0" applyFont="1" applyFill="1" applyBorder="1" applyAlignment="1">
      <alignment vertical="center"/>
    </xf>
    <xf numFmtId="3" fontId="35" fillId="33" borderId="14" xfId="0" applyNumberFormat="1" applyFont="1" applyFill="1" applyBorder="1" applyAlignment="1">
      <alignment vertical="center"/>
    </xf>
    <xf numFmtId="3" fontId="36" fillId="0" borderId="13" xfId="0" applyNumberFormat="1" applyFont="1" applyFill="1" applyBorder="1" applyAlignment="1">
      <alignment vertical="center"/>
    </xf>
    <xf numFmtId="3" fontId="36" fillId="0" borderId="13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/>
    </xf>
    <xf numFmtId="3" fontId="36" fillId="32" borderId="59" xfId="0" applyNumberFormat="1" applyFont="1" applyFill="1" applyBorder="1" applyAlignment="1">
      <alignment vertical="center"/>
    </xf>
    <xf numFmtId="3" fontId="36" fillId="32" borderId="60" xfId="0" applyNumberFormat="1" applyFont="1" applyFill="1" applyBorder="1" applyAlignment="1">
      <alignment vertical="center"/>
    </xf>
    <xf numFmtId="0" fontId="35" fillId="32" borderId="60" xfId="0" applyFont="1" applyFill="1" applyBorder="1" applyAlignment="1">
      <alignment horizontal="center" vertical="center"/>
    </xf>
    <xf numFmtId="0" fontId="35" fillId="32" borderId="61" xfId="0" applyFont="1" applyFill="1" applyBorder="1" applyAlignment="1">
      <alignment horizontal="left" vertical="center"/>
    </xf>
    <xf numFmtId="0" fontId="35" fillId="32" borderId="62" xfId="0" applyFont="1" applyFill="1" applyBorder="1" applyAlignment="1">
      <alignment horizontal="center" vertical="center"/>
    </xf>
    <xf numFmtId="3" fontId="35" fillId="33" borderId="35" xfId="0" applyNumberFormat="1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vertical="center"/>
    </xf>
    <xf numFmtId="0" fontId="36" fillId="33" borderId="11" xfId="0" applyFont="1" applyFill="1" applyBorder="1" applyAlignment="1">
      <alignment horizontal="left" vertical="center"/>
    </xf>
    <xf numFmtId="3" fontId="36" fillId="0" borderId="52" xfId="0" applyNumberFormat="1" applyFont="1" applyFill="1" applyBorder="1" applyAlignment="1">
      <alignment vertical="center"/>
    </xf>
    <xf numFmtId="3" fontId="36" fillId="33" borderId="52" xfId="0" applyNumberFormat="1" applyFont="1" applyFill="1" applyBorder="1" applyAlignment="1">
      <alignment vertical="center"/>
    </xf>
    <xf numFmtId="3" fontId="36" fillId="0" borderId="50" xfId="0" applyNumberFormat="1" applyFont="1" applyFill="1" applyBorder="1" applyAlignment="1">
      <alignment vertical="center"/>
    </xf>
    <xf numFmtId="0" fontId="36" fillId="0" borderId="50" xfId="0" applyFont="1" applyFill="1" applyBorder="1" applyAlignment="1">
      <alignment vertical="center"/>
    </xf>
    <xf numFmtId="0" fontId="36" fillId="0" borderId="51" xfId="0" applyFont="1" applyFill="1" applyBorder="1" applyAlignment="1">
      <alignment horizontal="left" vertical="center"/>
    </xf>
    <xf numFmtId="3" fontId="36" fillId="32" borderId="17" xfId="0" applyNumberFormat="1" applyFont="1" applyFill="1" applyBorder="1" applyAlignment="1">
      <alignment vertical="center"/>
    </xf>
    <xf numFmtId="0" fontId="35" fillId="32" borderId="17" xfId="0" applyFont="1" applyFill="1" applyBorder="1" applyAlignment="1">
      <alignment horizontal="center" vertical="center"/>
    </xf>
    <xf numFmtId="0" fontId="35" fillId="32" borderId="16" xfId="0" applyFont="1" applyFill="1" applyBorder="1" applyAlignment="1">
      <alignment horizontal="left" vertical="center"/>
    </xf>
    <xf numFmtId="0" fontId="35" fillId="32" borderId="15" xfId="0" applyFont="1" applyFill="1" applyBorder="1" applyAlignment="1">
      <alignment horizontal="center" vertical="center"/>
    </xf>
    <xf numFmtId="3" fontId="36" fillId="33" borderId="40" xfId="0" applyNumberFormat="1" applyFont="1" applyFill="1" applyBorder="1" applyAlignment="1">
      <alignment vertical="center"/>
    </xf>
    <xf numFmtId="3" fontId="36" fillId="33" borderId="33" xfId="0" applyNumberFormat="1" applyFont="1" applyFill="1" applyBorder="1" applyAlignment="1">
      <alignment vertical="center"/>
    </xf>
    <xf numFmtId="3" fontId="36" fillId="33" borderId="34" xfId="0" applyNumberFormat="1" applyFont="1" applyFill="1" applyBorder="1" applyAlignment="1">
      <alignment vertical="center"/>
    </xf>
    <xf numFmtId="3" fontId="36" fillId="33" borderId="38" xfId="0" applyNumberFormat="1" applyFont="1" applyFill="1" applyBorder="1" applyAlignment="1">
      <alignment vertical="center"/>
    </xf>
    <xf numFmtId="3" fontId="36" fillId="33" borderId="10" xfId="0" applyNumberFormat="1" applyFont="1" applyFill="1" applyBorder="1" applyAlignment="1">
      <alignment vertical="center"/>
    </xf>
    <xf numFmtId="3" fontId="36" fillId="33" borderId="37" xfId="0" applyNumberFormat="1" applyFont="1" applyFill="1" applyBorder="1" applyAlignment="1">
      <alignment vertical="center"/>
    </xf>
    <xf numFmtId="0" fontId="66" fillId="32" borderId="21" xfId="0" applyFont="1" applyFill="1" applyBorder="1" applyAlignment="1">
      <alignment vertical="center"/>
    </xf>
    <xf numFmtId="3" fontId="35" fillId="34" borderId="17" xfId="0" applyNumberFormat="1" applyFont="1" applyFill="1" applyBorder="1" applyAlignment="1">
      <alignment vertical="center"/>
    </xf>
    <xf numFmtId="3" fontId="65" fillId="34" borderId="21" xfId="0" applyNumberFormat="1" applyFont="1" applyFill="1" applyBorder="1" applyAlignment="1">
      <alignment vertical="center"/>
    </xf>
    <xf numFmtId="3" fontId="35" fillId="34" borderId="48" xfId="0" applyNumberFormat="1" applyFont="1" applyFill="1" applyBorder="1" applyAlignment="1">
      <alignment vertical="center"/>
    </xf>
    <xf numFmtId="3" fontId="65" fillId="34" borderId="16" xfId="0" applyNumberFormat="1" applyFont="1" applyFill="1" applyBorder="1" applyAlignment="1">
      <alignment vertical="center"/>
    </xf>
    <xf numFmtId="0" fontId="35" fillId="34" borderId="16" xfId="0" applyFont="1" applyFill="1" applyBorder="1" applyAlignment="1">
      <alignment vertical="center"/>
    </xf>
    <xf numFmtId="0" fontId="35" fillId="34" borderId="15" xfId="0" applyFont="1" applyFill="1" applyBorder="1" applyAlignment="1">
      <alignment horizontal="center" vertical="center"/>
    </xf>
    <xf numFmtId="3" fontId="36" fillId="33" borderId="39" xfId="0" applyNumberFormat="1" applyFont="1" applyFill="1" applyBorder="1" applyAlignment="1">
      <alignment vertical="center"/>
    </xf>
    <xf numFmtId="3" fontId="65" fillId="33" borderId="20" xfId="0" applyNumberFormat="1" applyFont="1" applyFill="1" applyBorder="1" applyAlignment="1">
      <alignment vertical="center"/>
    </xf>
    <xf numFmtId="3" fontId="35" fillId="32" borderId="63" xfId="0" applyNumberFormat="1" applyFont="1" applyFill="1" applyBorder="1" applyAlignment="1">
      <alignment vertical="center"/>
    </xf>
    <xf numFmtId="3" fontId="32" fillId="34" borderId="24" xfId="0" applyNumberFormat="1" applyFont="1" applyFill="1" applyBorder="1" applyAlignment="1">
      <alignment vertical="center"/>
    </xf>
    <xf numFmtId="3" fontId="33" fillId="33" borderId="40" xfId="0" applyNumberFormat="1" applyFont="1" applyFill="1" applyBorder="1" applyAlignment="1">
      <alignment vertical="center"/>
    </xf>
    <xf numFmtId="3" fontId="36" fillId="33" borderId="64" xfId="0" applyNumberFormat="1" applyFont="1" applyFill="1" applyBorder="1" applyAlignment="1">
      <alignment vertical="center"/>
    </xf>
    <xf numFmtId="3" fontId="67" fillId="33" borderId="65" xfId="0" applyNumberFormat="1" applyFont="1" applyFill="1" applyBorder="1" applyAlignment="1">
      <alignment vertical="center"/>
    </xf>
    <xf numFmtId="3" fontId="33" fillId="33" borderId="33" xfId="0" applyNumberFormat="1" applyFont="1" applyFill="1" applyBorder="1" applyAlignment="1">
      <alignment vertical="center"/>
    </xf>
    <xf numFmtId="3" fontId="36" fillId="33" borderId="66" xfId="0" applyNumberFormat="1" applyFont="1" applyFill="1" applyBorder="1" applyAlignment="1">
      <alignment vertical="center"/>
    </xf>
    <xf numFmtId="3" fontId="67" fillId="33" borderId="67" xfId="0" applyNumberFormat="1" applyFont="1" applyFill="1" applyBorder="1" applyAlignment="1">
      <alignment vertical="center"/>
    </xf>
    <xf numFmtId="0" fontId="36" fillId="32" borderId="68" xfId="0" applyFont="1" applyFill="1" applyBorder="1" applyAlignment="1">
      <alignment horizontal="center" vertical="center"/>
    </xf>
    <xf numFmtId="0" fontId="36" fillId="32" borderId="68" xfId="0" applyFont="1" applyFill="1" applyBorder="1" applyAlignment="1">
      <alignment vertical="center"/>
    </xf>
    <xf numFmtId="0" fontId="36" fillId="32" borderId="43" xfId="0" applyFont="1" applyFill="1" applyBorder="1" applyAlignment="1">
      <alignment vertical="center"/>
    </xf>
    <xf numFmtId="0" fontId="36" fillId="32" borderId="21" xfId="0" applyFont="1" applyFill="1" applyBorder="1" applyAlignment="1">
      <alignment vertical="center"/>
    </xf>
    <xf numFmtId="0" fontId="36" fillId="35" borderId="38" xfId="0" applyFont="1" applyFill="1" applyBorder="1" applyAlignment="1">
      <alignment horizontal="left" vertical="center"/>
    </xf>
    <xf numFmtId="0" fontId="36" fillId="35" borderId="33" xfId="0" applyFont="1" applyFill="1" applyBorder="1" applyAlignment="1">
      <alignment vertical="center"/>
    </xf>
    <xf numFmtId="3" fontId="36" fillId="35" borderId="38" xfId="0" applyNumberFormat="1" applyFont="1" applyFill="1" applyBorder="1" applyAlignment="1">
      <alignment vertical="center"/>
    </xf>
    <xf numFmtId="3" fontId="36" fillId="35" borderId="33" xfId="0" applyNumberFormat="1" applyFont="1" applyFill="1" applyBorder="1" applyAlignment="1">
      <alignment vertical="center"/>
    </xf>
    <xf numFmtId="3" fontId="36" fillId="35" borderId="34" xfId="0" applyNumberFormat="1" applyFont="1" applyFill="1" applyBorder="1" applyAlignment="1">
      <alignment vertical="center"/>
    </xf>
    <xf numFmtId="0" fontId="36" fillId="35" borderId="11" xfId="0" applyFont="1" applyFill="1" applyBorder="1" applyAlignment="1">
      <alignment horizontal="left" vertical="center"/>
    </xf>
    <xf numFmtId="0" fontId="36" fillId="35" borderId="12" xfId="0" applyFont="1" applyFill="1" applyBorder="1" applyAlignment="1">
      <alignment vertical="center"/>
    </xf>
    <xf numFmtId="3" fontId="36" fillId="35" borderId="12" xfId="0" applyNumberFormat="1" applyFont="1" applyFill="1" applyBorder="1" applyAlignment="1">
      <alignment vertical="center"/>
    </xf>
    <xf numFmtId="3" fontId="36" fillId="35" borderId="13" xfId="0" applyNumberFormat="1" applyFont="1" applyFill="1" applyBorder="1" applyAlignment="1">
      <alignment vertical="center"/>
    </xf>
    <xf numFmtId="3" fontId="35" fillId="35" borderId="35" xfId="0" applyNumberFormat="1" applyFont="1" applyFill="1" applyBorder="1" applyAlignment="1">
      <alignment vertical="center"/>
    </xf>
    <xf numFmtId="0" fontId="36" fillId="35" borderId="39" xfId="0" applyFont="1" applyFill="1" applyBorder="1" applyAlignment="1">
      <alignment horizontal="left" vertical="center"/>
    </xf>
    <xf numFmtId="0" fontId="36" fillId="35" borderId="40" xfId="0" applyFont="1" applyFill="1" applyBorder="1" applyAlignment="1">
      <alignment vertical="center"/>
    </xf>
    <xf numFmtId="3" fontId="36" fillId="35" borderId="69" xfId="0" applyNumberFormat="1" applyFont="1" applyFill="1" applyBorder="1" applyAlignment="1">
      <alignment vertical="center"/>
    </xf>
    <xf numFmtId="3" fontId="36" fillId="35" borderId="40" xfId="0" applyNumberFormat="1" applyFont="1" applyFill="1" applyBorder="1" applyAlignment="1">
      <alignment vertical="center"/>
    </xf>
    <xf numFmtId="3" fontId="36" fillId="35" borderId="45" xfId="0" applyNumberFormat="1" applyFont="1" applyFill="1" applyBorder="1" applyAlignment="1">
      <alignment vertical="center"/>
    </xf>
    <xf numFmtId="0" fontId="36" fillId="35" borderId="11" xfId="0" applyFont="1" applyFill="1" applyBorder="1" applyAlignment="1">
      <alignment horizontal="left"/>
    </xf>
    <xf numFmtId="0" fontId="36" fillId="35" borderId="12" xfId="0" applyFont="1" applyFill="1" applyBorder="1" applyAlignment="1">
      <alignment/>
    </xf>
    <xf numFmtId="3" fontId="36" fillId="35" borderId="12" xfId="0" applyNumberFormat="1" applyFont="1" applyFill="1" applyBorder="1" applyAlignment="1">
      <alignment/>
    </xf>
    <xf numFmtId="3" fontId="36" fillId="35" borderId="13" xfId="0" applyNumberFormat="1" applyFont="1" applyFill="1" applyBorder="1" applyAlignment="1">
      <alignment horizontal="right"/>
    </xf>
    <xf numFmtId="3" fontId="36" fillId="35" borderId="13" xfId="0" applyNumberFormat="1" applyFont="1" applyFill="1" applyBorder="1" applyAlignment="1">
      <alignment/>
    </xf>
    <xf numFmtId="3" fontId="35" fillId="35" borderId="14" xfId="0" applyNumberFormat="1" applyFont="1" applyFill="1" applyBorder="1" applyAlignment="1">
      <alignment/>
    </xf>
    <xf numFmtId="3" fontId="67" fillId="33" borderId="25" xfId="0" applyNumberFormat="1" applyFont="1" applyFill="1" applyBorder="1" applyAlignment="1">
      <alignment vertical="center"/>
    </xf>
    <xf numFmtId="3" fontId="33" fillId="33" borderId="10" xfId="0" applyNumberFormat="1" applyFont="1" applyFill="1" applyBorder="1" applyAlignment="1">
      <alignment vertical="center"/>
    </xf>
    <xf numFmtId="3" fontId="35" fillId="33" borderId="18" xfId="0" applyNumberFormat="1" applyFont="1" applyFill="1" applyBorder="1" applyAlignment="1">
      <alignment/>
    </xf>
    <xf numFmtId="0" fontId="35" fillId="8" borderId="10" xfId="0" applyFont="1" applyFill="1" applyBorder="1" applyAlignment="1">
      <alignment horizontal="center" wrapText="1"/>
    </xf>
    <xf numFmtId="0" fontId="35" fillId="8" borderId="40" xfId="0" applyFont="1" applyFill="1" applyBorder="1" applyAlignment="1">
      <alignment horizontal="center" wrapText="1"/>
    </xf>
    <xf numFmtId="0" fontId="35" fillId="8" borderId="19" xfId="0" applyFont="1" applyFill="1" applyBorder="1" applyAlignment="1">
      <alignment horizontal="center" vertical="center" wrapText="1"/>
    </xf>
    <xf numFmtId="0" fontId="35" fillId="8" borderId="4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/>
    </xf>
    <xf numFmtId="0" fontId="35" fillId="32" borderId="17" xfId="0" applyFont="1" applyFill="1" applyBorder="1" applyAlignment="1">
      <alignment horizontal="center"/>
    </xf>
    <xf numFmtId="0" fontId="35" fillId="32" borderId="23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left"/>
    </xf>
    <xf numFmtId="0" fontId="63" fillId="0" borderId="39" xfId="0" applyFont="1" applyFill="1" applyBorder="1" applyAlignment="1">
      <alignment horizontal="left" wrapText="1"/>
    </xf>
    <xf numFmtId="0" fontId="63" fillId="0" borderId="65" xfId="0" applyFont="1" applyFill="1" applyBorder="1" applyAlignment="1">
      <alignment horizontal="left" wrapText="1"/>
    </xf>
    <xf numFmtId="0" fontId="63" fillId="8" borderId="22" xfId="0" applyFont="1" applyFill="1" applyBorder="1" applyAlignment="1">
      <alignment horizontal="left" wrapText="1"/>
    </xf>
    <xf numFmtId="0" fontId="63" fillId="8" borderId="24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3" fontId="35" fillId="32" borderId="17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/>
    </xf>
    <xf numFmtId="0" fontId="38" fillId="32" borderId="17" xfId="0" applyFont="1" applyFill="1" applyBorder="1" applyAlignment="1">
      <alignment horizontal="center"/>
    </xf>
    <xf numFmtId="0" fontId="38" fillId="32" borderId="23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32" borderId="17" xfId="0" applyFont="1" applyFill="1" applyBorder="1" applyAlignment="1">
      <alignment horizontal="center"/>
    </xf>
    <xf numFmtId="0" fontId="36" fillId="32" borderId="23" xfId="0" applyFont="1" applyFill="1" applyBorder="1" applyAlignment="1">
      <alignment horizontal="center"/>
    </xf>
    <xf numFmtId="14" fontId="69" fillId="8" borderId="19" xfId="0" applyNumberFormat="1" applyFont="1" applyFill="1" applyBorder="1" applyAlignment="1">
      <alignment horizontal="center" vertical="center" wrapText="1"/>
    </xf>
    <xf numFmtId="14" fontId="69" fillId="8" borderId="45" xfId="0" applyNumberFormat="1" applyFont="1" applyFill="1" applyBorder="1" applyAlignment="1">
      <alignment horizontal="center" vertical="center" wrapText="1"/>
    </xf>
    <xf numFmtId="3" fontId="69" fillId="35" borderId="19" xfId="0" applyNumberFormat="1" applyFont="1" applyFill="1" applyBorder="1" applyAlignment="1">
      <alignment horizontal="center" vertical="center" wrapText="1"/>
    </xf>
    <xf numFmtId="3" fontId="69" fillId="35" borderId="45" xfId="0" applyNumberFormat="1" applyFont="1" applyFill="1" applyBorder="1" applyAlignment="1">
      <alignment horizontal="center" vertical="center" wrapText="1"/>
    </xf>
    <xf numFmtId="0" fontId="69" fillId="8" borderId="19" xfId="0" applyFont="1" applyFill="1" applyBorder="1" applyAlignment="1">
      <alignment horizontal="center" vertical="center" wrapText="1"/>
    </xf>
    <xf numFmtId="0" fontId="69" fillId="8" borderId="45" xfId="0" applyFont="1" applyFill="1" applyBorder="1" applyAlignment="1">
      <alignment horizontal="center" vertical="center" wrapText="1"/>
    </xf>
    <xf numFmtId="0" fontId="69" fillId="11" borderId="19" xfId="0" applyFont="1" applyFill="1" applyBorder="1" applyAlignment="1">
      <alignment horizontal="center" vertical="center" wrapText="1"/>
    </xf>
    <xf numFmtId="0" fontId="69" fillId="11" borderId="45" xfId="0" applyFont="1" applyFill="1" applyBorder="1" applyAlignment="1">
      <alignment horizontal="center" vertical="center" wrapText="1"/>
    </xf>
    <xf numFmtId="3" fontId="69" fillId="11" borderId="19" xfId="0" applyNumberFormat="1" applyFont="1" applyFill="1" applyBorder="1" applyAlignment="1">
      <alignment horizontal="center" vertical="center" wrapText="1"/>
    </xf>
    <xf numFmtId="3" fontId="69" fillId="11" borderId="45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left"/>
    </xf>
    <xf numFmtId="3" fontId="69" fillId="8" borderId="19" xfId="0" applyNumberFormat="1" applyFont="1" applyFill="1" applyBorder="1" applyAlignment="1">
      <alignment horizontal="center" vertical="center" wrapText="1"/>
    </xf>
    <xf numFmtId="3" fontId="69" fillId="8" borderId="45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32" borderId="22" xfId="0" applyFont="1" applyFill="1" applyBorder="1" applyAlignment="1">
      <alignment horizontal="center" vertical="center"/>
    </xf>
    <xf numFmtId="0" fontId="35" fillId="32" borderId="23" xfId="0" applyFont="1" applyFill="1" applyBorder="1" applyAlignment="1">
      <alignment horizontal="center" vertical="center"/>
    </xf>
    <xf numFmtId="0" fontId="35" fillId="8" borderId="22" xfId="0" applyFont="1" applyFill="1" applyBorder="1" applyAlignment="1">
      <alignment horizontal="center" vertical="center"/>
    </xf>
    <xf numFmtId="0" fontId="35" fillId="8" borderId="71" xfId="0" applyFont="1" applyFill="1" applyBorder="1" applyAlignment="1">
      <alignment horizontal="center" vertical="center"/>
    </xf>
    <xf numFmtId="0" fontId="35" fillId="32" borderId="17" xfId="0" applyFont="1" applyFill="1" applyBorder="1" applyAlignment="1">
      <alignment horizontal="center" vertical="center"/>
    </xf>
    <xf numFmtId="0" fontId="35" fillId="32" borderId="71" xfId="0" applyFont="1" applyFill="1" applyBorder="1" applyAlignment="1">
      <alignment horizontal="center" vertical="center"/>
    </xf>
    <xf numFmtId="0" fontId="35" fillId="32" borderId="60" xfId="0" applyFont="1" applyFill="1" applyBorder="1" applyAlignment="1">
      <alignment horizontal="center" vertical="center"/>
    </xf>
    <xf numFmtId="0" fontId="35" fillId="32" borderId="72" xfId="0" applyFont="1" applyFill="1" applyBorder="1" applyAlignment="1">
      <alignment horizontal="center" vertical="center"/>
    </xf>
    <xf numFmtId="0" fontId="35" fillId="32" borderId="7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1</xdr:row>
      <xdr:rowOff>19050</xdr:rowOff>
    </xdr:from>
    <xdr:to>
      <xdr:col>9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19075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85725</xdr:rowOff>
    </xdr:from>
    <xdr:to>
      <xdr:col>24</xdr:col>
      <xdr:colOff>161925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85725"/>
          <a:ext cx="1685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showGridLines="0" tabSelected="1" zoomScalePageLayoutView="0" workbookViewId="0" topLeftCell="A1">
      <selection activeCell="I41" sqref="I41"/>
    </sheetView>
  </sheetViews>
  <sheetFormatPr defaultColWidth="11.421875" defaultRowHeight="15"/>
  <cols>
    <col min="1" max="1" width="4.28125" style="1" customWidth="1"/>
    <col min="2" max="2" width="4.7109375" style="1" customWidth="1"/>
    <col min="3" max="3" width="13.00390625" style="1" customWidth="1"/>
    <col min="4" max="4" width="24.421875" style="1" bestFit="1" customWidth="1"/>
    <col min="5" max="5" width="11.421875" style="1" customWidth="1"/>
    <col min="6" max="6" width="13.421875" style="1" customWidth="1"/>
    <col min="7" max="7" width="10.00390625" style="1" hidden="1" customWidth="1"/>
    <col min="8" max="8" width="11.00390625" style="1" customWidth="1"/>
    <col min="9" max="9" width="12.00390625" style="1" customWidth="1"/>
    <col min="10" max="16384" width="11.421875" style="1" customWidth="1"/>
  </cols>
  <sheetData>
    <row r="1" spans="2:9" ht="15.75" customHeight="1">
      <c r="B1" s="251" t="s">
        <v>0</v>
      </c>
      <c r="C1" s="251"/>
      <c r="D1" s="251"/>
      <c r="E1" s="251"/>
      <c r="F1" s="251"/>
      <c r="G1" s="15"/>
      <c r="H1" s="15"/>
      <c r="I1" s="14"/>
    </row>
    <row r="2" spans="2:9" ht="15.75" customHeight="1">
      <c r="B2" s="251" t="s">
        <v>1</v>
      </c>
      <c r="C2" s="251"/>
      <c r="D2" s="251"/>
      <c r="E2" s="251"/>
      <c r="F2" s="251"/>
      <c r="G2" s="15"/>
      <c r="H2" s="15"/>
      <c r="I2" s="14"/>
    </row>
    <row r="3" spans="2:9" ht="15.75" customHeight="1">
      <c r="B3" s="251" t="s">
        <v>86</v>
      </c>
      <c r="C3" s="251"/>
      <c r="D3" s="251"/>
      <c r="E3" s="251"/>
      <c r="F3" s="251"/>
      <c r="G3" s="15"/>
      <c r="H3" s="15"/>
      <c r="I3" s="14"/>
    </row>
    <row r="4" spans="2:9" ht="15.75" customHeight="1">
      <c r="B4" s="251"/>
      <c r="C4" s="251"/>
      <c r="D4" s="251"/>
      <c r="E4" s="251"/>
      <c r="F4" s="251"/>
      <c r="G4" s="15"/>
      <c r="H4" s="15"/>
      <c r="I4" s="14"/>
    </row>
    <row r="5" spans="2:9" ht="6.75" customHeight="1">
      <c r="B5" s="8"/>
      <c r="C5" s="8"/>
      <c r="D5" s="8"/>
      <c r="E5" s="8"/>
      <c r="F5" s="8"/>
      <c r="G5" s="15"/>
      <c r="H5" s="15"/>
      <c r="I5" s="14"/>
    </row>
    <row r="6" spans="2:9" ht="15.75">
      <c r="B6" s="254" t="s">
        <v>114</v>
      </c>
      <c r="C6" s="254"/>
      <c r="D6" s="254"/>
      <c r="E6" s="254"/>
      <c r="F6" s="254"/>
      <c r="G6" s="254"/>
      <c r="H6" s="9"/>
      <c r="I6" s="16"/>
    </row>
    <row r="7" spans="2:9" ht="13.5" thickBot="1">
      <c r="B7" s="14"/>
      <c r="C7" s="17"/>
      <c r="D7" s="18"/>
      <c r="E7" s="19"/>
      <c r="F7" s="20"/>
      <c r="G7" s="16"/>
      <c r="H7" s="16"/>
      <c r="I7" s="16"/>
    </row>
    <row r="8" spans="2:9" ht="15" customHeight="1">
      <c r="B8" s="14"/>
      <c r="C8" s="14"/>
      <c r="D8" s="74" t="s">
        <v>68</v>
      </c>
      <c r="E8" s="75"/>
      <c r="F8" s="12">
        <f>H54</f>
        <v>953964367.4545455</v>
      </c>
      <c r="G8" s="17"/>
      <c r="H8" s="17"/>
      <c r="I8" s="17"/>
    </row>
    <row r="9" spans="2:9" ht="15.75" thickBot="1">
      <c r="B9" s="14"/>
      <c r="C9" s="14"/>
      <c r="D9" s="255" t="s">
        <v>100</v>
      </c>
      <c r="E9" s="256"/>
      <c r="F9" s="132">
        <f>'GASTOS PROYECT'!S90</f>
        <v>915152199.7272727</v>
      </c>
      <c r="G9" s="17"/>
      <c r="H9" s="17"/>
      <c r="I9" s="17"/>
    </row>
    <row r="10" spans="2:9" ht="15.75" thickBot="1">
      <c r="B10" s="14"/>
      <c r="C10" s="14"/>
      <c r="D10" s="257" t="s">
        <v>66</v>
      </c>
      <c r="E10" s="258"/>
      <c r="F10" s="133">
        <f>F8-F9</f>
        <v>38812167.72727275</v>
      </c>
      <c r="G10" s="17"/>
      <c r="H10" s="17"/>
      <c r="I10" s="17"/>
    </row>
    <row r="11" spans="2:9" ht="12.75">
      <c r="B11" s="14"/>
      <c r="C11" s="14"/>
      <c r="D11" s="14"/>
      <c r="E11" s="14"/>
      <c r="F11" s="14"/>
      <c r="G11" s="14"/>
      <c r="H11" s="16"/>
      <c r="I11" s="16"/>
    </row>
    <row r="12" spans="2:9" ht="13.5" thickBot="1">
      <c r="B12" s="14"/>
      <c r="C12" s="21"/>
      <c r="D12" s="21"/>
      <c r="E12" s="21"/>
      <c r="F12" s="21"/>
      <c r="G12" s="14"/>
      <c r="H12" s="14"/>
      <c r="I12" s="14"/>
    </row>
    <row r="13" spans="2:9" ht="12.75" customHeight="1">
      <c r="B13" s="14"/>
      <c r="C13" s="249" t="s">
        <v>70</v>
      </c>
      <c r="D13" s="249" t="s">
        <v>67</v>
      </c>
      <c r="E13" s="249" t="s">
        <v>71</v>
      </c>
      <c r="F13" s="249" t="s">
        <v>113</v>
      </c>
      <c r="G13" s="249" t="s">
        <v>73</v>
      </c>
      <c r="H13" s="249" t="s">
        <v>111</v>
      </c>
      <c r="I13" s="247" t="s">
        <v>87</v>
      </c>
    </row>
    <row r="14" spans="2:9" ht="22.5" customHeight="1" thickBot="1">
      <c r="B14" s="14"/>
      <c r="C14" s="250"/>
      <c r="D14" s="250"/>
      <c r="E14" s="250"/>
      <c r="F14" s="250"/>
      <c r="G14" s="250"/>
      <c r="H14" s="250"/>
      <c r="I14" s="248"/>
    </row>
    <row r="15" ht="13.5" thickBot="1"/>
    <row r="16" spans="2:9" s="2" customFormat="1" ht="13.5" thickBot="1">
      <c r="B16" s="13"/>
      <c r="C16" s="98"/>
      <c r="D16" s="99" t="s">
        <v>3</v>
      </c>
      <c r="E16" s="266"/>
      <c r="F16" s="267"/>
      <c r="G16" s="267"/>
      <c r="H16" s="91"/>
      <c r="I16" s="100"/>
    </row>
    <row r="17" spans="2:13" ht="13.5" thickBot="1">
      <c r="B17" s="14"/>
      <c r="C17" s="127">
        <v>21020.001</v>
      </c>
      <c r="D17" s="128" t="s">
        <v>4</v>
      </c>
      <c r="E17" s="129">
        <v>0</v>
      </c>
      <c r="F17" s="130">
        <v>0</v>
      </c>
      <c r="G17" s="130">
        <f>E17/12*9</f>
        <v>0</v>
      </c>
      <c r="H17" s="130">
        <f>F17/9*12</f>
        <v>0</v>
      </c>
      <c r="I17" s="131">
        <f>H17-E17</f>
        <v>0</v>
      </c>
      <c r="M17" s="10"/>
    </row>
    <row r="18" spans="2:9" ht="13.5" thickBot="1">
      <c r="B18" s="14"/>
      <c r="C18" s="122"/>
      <c r="D18" s="123" t="s">
        <v>5</v>
      </c>
      <c r="E18" s="124">
        <f>SUM(E17:E17)</f>
        <v>0</v>
      </c>
      <c r="F18" s="125">
        <f>SUM(F17:F17)</f>
        <v>0</v>
      </c>
      <c r="G18" s="125">
        <f>SUM(G17)</f>
        <v>0</v>
      </c>
      <c r="H18" s="125">
        <f>SUM(H17)</f>
        <v>0</v>
      </c>
      <c r="I18" s="126">
        <f>SUM(I17)</f>
        <v>0</v>
      </c>
    </row>
    <row r="19" spans="2:11" ht="13.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9" ht="13.5" thickBot="1">
      <c r="B20" s="14"/>
      <c r="C20" s="139"/>
      <c r="D20" s="140" t="s">
        <v>6</v>
      </c>
      <c r="E20" s="252"/>
      <c r="F20" s="253"/>
      <c r="G20" s="253"/>
      <c r="H20" s="94"/>
      <c r="I20" s="93"/>
    </row>
    <row r="21" spans="2:9" ht="12.75">
      <c r="B21" s="14"/>
      <c r="C21" s="135">
        <v>41030.001</v>
      </c>
      <c r="D21" s="136" t="s">
        <v>7</v>
      </c>
      <c r="E21" s="137">
        <v>1500000</v>
      </c>
      <c r="F21" s="138">
        <v>1140749</v>
      </c>
      <c r="G21" s="138">
        <f>E21/12*9</f>
        <v>1125000</v>
      </c>
      <c r="H21" s="138">
        <f>F21/11*12</f>
        <v>1244453.4545454546</v>
      </c>
      <c r="I21" s="92">
        <f>H21-E21</f>
        <v>-255546.5454545454</v>
      </c>
    </row>
    <row r="22" spans="2:9" ht="13.5" thickBot="1">
      <c r="B22" s="14"/>
      <c r="C22" s="76">
        <v>41030.002</v>
      </c>
      <c r="D22" s="77" t="s">
        <v>8</v>
      </c>
      <c r="E22" s="78">
        <v>0</v>
      </c>
      <c r="F22" s="79">
        <v>0</v>
      </c>
      <c r="G22" s="80">
        <f>E22/12*9</f>
        <v>0</v>
      </c>
      <c r="H22" s="80">
        <v>0</v>
      </c>
      <c r="I22" s="81">
        <f>H22-E22</f>
        <v>0</v>
      </c>
    </row>
    <row r="23" spans="2:9" s="3" customFormat="1" ht="13.5" thickBot="1">
      <c r="B23" s="22"/>
      <c r="C23" s="145"/>
      <c r="D23" s="146" t="s">
        <v>5</v>
      </c>
      <c r="E23" s="147">
        <f>SUM(E21:E22)</f>
        <v>1500000</v>
      </c>
      <c r="F23" s="148">
        <f>SUM(F21:F22)</f>
        <v>1140749</v>
      </c>
      <c r="G23" s="148">
        <f>SUM(G21:G22)</f>
        <v>1125000</v>
      </c>
      <c r="H23" s="148">
        <f>SUM(H21:H22)</f>
        <v>1244453.4545454546</v>
      </c>
      <c r="I23" s="149">
        <f>SUM(I21:I22)</f>
        <v>-255546.5454545454</v>
      </c>
    </row>
    <row r="24" spans="1:9" s="3" customFormat="1" ht="13.5" thickBot="1">
      <c r="A24" s="1"/>
      <c r="B24" s="1"/>
      <c r="C24" s="1"/>
      <c r="D24" s="1"/>
      <c r="E24" s="1"/>
      <c r="F24" s="1"/>
      <c r="G24" s="1"/>
      <c r="H24" s="23"/>
      <c r="I24" s="30"/>
    </row>
    <row r="25" spans="2:9" s="3" customFormat="1" ht="13.5" thickBot="1">
      <c r="B25" s="22"/>
      <c r="C25" s="139"/>
      <c r="D25" s="142" t="s">
        <v>9</v>
      </c>
      <c r="E25" s="252"/>
      <c r="F25" s="253"/>
      <c r="G25" s="253"/>
      <c r="H25" s="94"/>
      <c r="I25" s="93"/>
    </row>
    <row r="26" spans="2:9" ht="12.75">
      <c r="B26" s="14"/>
      <c r="C26" s="135">
        <v>41010.001</v>
      </c>
      <c r="D26" s="136" t="s">
        <v>65</v>
      </c>
      <c r="E26" s="137">
        <v>414000000</v>
      </c>
      <c r="F26" s="141">
        <v>377123614</v>
      </c>
      <c r="G26" s="138">
        <f>(E26/12)*9</f>
        <v>310500000</v>
      </c>
      <c r="H26" s="138">
        <f>377123614+34000000</f>
        <v>411123614</v>
      </c>
      <c r="I26" s="92">
        <f>H26-E26</f>
        <v>-2876386</v>
      </c>
    </row>
    <row r="27" spans="2:12" ht="12.75">
      <c r="B27" s="14"/>
      <c r="C27" s="238">
        <v>41020.001</v>
      </c>
      <c r="D27" s="239" t="s">
        <v>10</v>
      </c>
      <c r="E27" s="240">
        <v>345000000</v>
      </c>
      <c r="F27" s="241">
        <v>311399729</v>
      </c>
      <c r="G27" s="242">
        <f>(E27/12)*9</f>
        <v>258750000</v>
      </c>
      <c r="H27" s="242">
        <v>387000000</v>
      </c>
      <c r="I27" s="243">
        <f>H27-E27</f>
        <v>42000000</v>
      </c>
      <c r="L27" s="10"/>
    </row>
    <row r="28" spans="2:9" ht="12.75">
      <c r="B28" s="14"/>
      <c r="C28" s="25">
        <v>41020.002</v>
      </c>
      <c r="D28" s="26" t="s">
        <v>11</v>
      </c>
      <c r="E28" s="27">
        <v>32029000</v>
      </c>
      <c r="F28" s="29">
        <v>30792824</v>
      </c>
      <c r="G28" s="28">
        <f>(E28/12)*9</f>
        <v>24021750</v>
      </c>
      <c r="H28" s="28">
        <f>F28/11*12</f>
        <v>33592171.63636363</v>
      </c>
      <c r="I28" s="31">
        <f>H28-E28</f>
        <v>1563171.636363633</v>
      </c>
    </row>
    <row r="29" spans="2:9" ht="13.5" thickBot="1">
      <c r="B29" s="14"/>
      <c r="C29" s="76"/>
      <c r="D29" s="77" t="s">
        <v>84</v>
      </c>
      <c r="E29" s="78"/>
      <c r="F29" s="79"/>
      <c r="G29" s="80"/>
      <c r="H29" s="80"/>
      <c r="I29" s="81"/>
    </row>
    <row r="30" spans="2:9" ht="13.5" thickBot="1">
      <c r="B30" s="14"/>
      <c r="C30" s="145"/>
      <c r="D30" s="146" t="s">
        <v>5</v>
      </c>
      <c r="E30" s="147">
        <f>SUM(E26:E28)</f>
        <v>791029000</v>
      </c>
      <c r="F30" s="150">
        <f>SUM(F26:F28)</f>
        <v>719316167</v>
      </c>
      <c r="G30" s="148">
        <f>SUM(G26:G28)</f>
        <v>593271750</v>
      </c>
      <c r="H30" s="148">
        <f>SUM(H26:H28)</f>
        <v>831715785.6363636</v>
      </c>
      <c r="I30" s="149">
        <f>SUM(I26:I28)</f>
        <v>40686785.63636363</v>
      </c>
    </row>
    <row r="31" spans="8:9" ht="13.5" thickBot="1">
      <c r="H31" s="23"/>
      <c r="I31" s="30"/>
    </row>
    <row r="32" spans="2:9" ht="13.5" thickBot="1">
      <c r="B32" s="14"/>
      <c r="C32" s="139"/>
      <c r="D32" s="142" t="s">
        <v>12</v>
      </c>
      <c r="E32" s="252"/>
      <c r="F32" s="253"/>
      <c r="G32" s="253"/>
      <c r="H32" s="94"/>
      <c r="I32" s="93"/>
    </row>
    <row r="33" spans="2:9" ht="13.5" thickBot="1">
      <c r="B33" s="14"/>
      <c r="C33" s="151">
        <v>45050.002</v>
      </c>
      <c r="D33" s="152" t="s">
        <v>13</v>
      </c>
      <c r="E33" s="153">
        <v>4021000</v>
      </c>
      <c r="F33" s="154">
        <v>4021000</v>
      </c>
      <c r="G33" s="154">
        <f>E33/12*9</f>
        <v>3015750</v>
      </c>
      <c r="H33" s="154">
        <v>4021000</v>
      </c>
      <c r="I33" s="95">
        <f>H33-E33</f>
        <v>0</v>
      </c>
    </row>
    <row r="34" spans="2:9" ht="13.5" thickBot="1">
      <c r="B34" s="14"/>
      <c r="C34" s="145"/>
      <c r="D34" s="146" t="s">
        <v>5</v>
      </c>
      <c r="E34" s="147">
        <f>E33</f>
        <v>4021000</v>
      </c>
      <c r="F34" s="148">
        <f>SUM(F33)</f>
        <v>4021000</v>
      </c>
      <c r="G34" s="148">
        <f>SUM(G33)</f>
        <v>3015750</v>
      </c>
      <c r="H34" s="148">
        <f>SUM(H33)</f>
        <v>4021000</v>
      </c>
      <c r="I34" s="149">
        <f>SUM(I33)</f>
        <v>0</v>
      </c>
    </row>
    <row r="35" spans="8:9" ht="13.5" thickBot="1">
      <c r="H35" s="23"/>
      <c r="I35" s="30"/>
    </row>
    <row r="36" spans="2:9" ht="13.5" thickBot="1">
      <c r="B36" s="14"/>
      <c r="C36" s="139"/>
      <c r="D36" s="142" t="s">
        <v>14</v>
      </c>
      <c r="E36" s="252"/>
      <c r="F36" s="253"/>
      <c r="G36" s="253"/>
      <c r="H36" s="94"/>
      <c r="I36" s="93"/>
    </row>
    <row r="37" spans="2:9" ht="12.75">
      <c r="B37" s="14"/>
      <c r="C37" s="135">
        <v>11030.001</v>
      </c>
      <c r="D37" s="136" t="s">
        <v>15</v>
      </c>
      <c r="E37" s="137">
        <v>6000000</v>
      </c>
      <c r="F37" s="138">
        <v>5481575</v>
      </c>
      <c r="G37" s="138">
        <f>F37/12*9</f>
        <v>4111181.25</v>
      </c>
      <c r="H37" s="138">
        <f>F37/11*12</f>
        <v>5979900</v>
      </c>
      <c r="I37" s="92">
        <f>H37-E37</f>
        <v>-20100</v>
      </c>
    </row>
    <row r="38" spans="2:9" ht="12.75">
      <c r="B38" s="14"/>
      <c r="C38" s="25">
        <v>11030.002</v>
      </c>
      <c r="D38" s="26" t="s">
        <v>16</v>
      </c>
      <c r="E38" s="27">
        <v>6000000</v>
      </c>
      <c r="F38" s="28">
        <v>4547628</v>
      </c>
      <c r="G38" s="28">
        <f>F38/12*9</f>
        <v>3410721</v>
      </c>
      <c r="H38" s="138">
        <f>F38/11*12</f>
        <v>4961048.7272727275</v>
      </c>
      <c r="I38" s="31">
        <f>H38-E38</f>
        <v>-1038951.2727272725</v>
      </c>
    </row>
    <row r="39" spans="2:9" ht="13.5" thickBot="1">
      <c r="B39" s="14"/>
      <c r="C39" s="76">
        <v>11030.005</v>
      </c>
      <c r="D39" s="77" t="s">
        <v>17</v>
      </c>
      <c r="E39" s="78">
        <v>3000000</v>
      </c>
      <c r="F39" s="80">
        <v>2459376</v>
      </c>
      <c r="G39" s="80">
        <f>F39/12*9</f>
        <v>1844532</v>
      </c>
      <c r="H39" s="138">
        <f>F39/11*12</f>
        <v>2682955.6363636362</v>
      </c>
      <c r="I39" s="81">
        <f>H39-E39</f>
        <v>-317044.36363636376</v>
      </c>
    </row>
    <row r="40" spans="2:9" ht="13.5" thickBot="1">
      <c r="B40" s="14"/>
      <c r="C40" s="145"/>
      <c r="D40" s="146" t="s">
        <v>5</v>
      </c>
      <c r="E40" s="147">
        <f>SUM(E37:E39)</f>
        <v>15000000</v>
      </c>
      <c r="F40" s="148">
        <f>SUM(F37:F39)</f>
        <v>12488579</v>
      </c>
      <c r="G40" s="148">
        <f>SUM(G37:G39)</f>
        <v>9366434.25</v>
      </c>
      <c r="H40" s="148">
        <f>SUM(H37:H39)</f>
        <v>13623904.363636363</v>
      </c>
      <c r="I40" s="149">
        <f>SUM(I37:I39)</f>
        <v>-1376095.6363636362</v>
      </c>
    </row>
    <row r="41" spans="2:9" ht="13.5" thickBot="1">
      <c r="B41" s="14"/>
      <c r="C41" s="264" t="s">
        <v>69</v>
      </c>
      <c r="D41" s="265"/>
      <c r="E41" s="265"/>
      <c r="F41" s="265"/>
      <c r="G41" s="265"/>
      <c r="H41" s="23"/>
      <c r="I41" s="30"/>
    </row>
    <row r="42" spans="2:9" ht="13.5" thickBot="1">
      <c r="B42" s="14"/>
      <c r="C42" s="139"/>
      <c r="D42" s="140" t="s">
        <v>18</v>
      </c>
      <c r="E42" s="262"/>
      <c r="F42" s="263"/>
      <c r="G42" s="263"/>
      <c r="H42" s="96"/>
      <c r="I42" s="93"/>
    </row>
    <row r="43" spans="2:9" ht="13.5" thickBot="1">
      <c r="B43" s="14"/>
      <c r="C43" s="151">
        <v>21030.001</v>
      </c>
      <c r="D43" s="152" t="s">
        <v>19</v>
      </c>
      <c r="E43" s="153">
        <v>15000000</v>
      </c>
      <c r="F43" s="155">
        <v>3969000</v>
      </c>
      <c r="G43" s="155">
        <f>E43/12*9</f>
        <v>11250000</v>
      </c>
      <c r="H43" s="155">
        <v>15000000</v>
      </c>
      <c r="I43" s="95">
        <f>H43-E43</f>
        <v>0</v>
      </c>
    </row>
    <row r="44" spans="2:9" ht="13.5" thickBot="1">
      <c r="B44" s="14"/>
      <c r="C44" s="145"/>
      <c r="D44" s="146" t="s">
        <v>5</v>
      </c>
      <c r="E44" s="147">
        <f>E43</f>
        <v>15000000</v>
      </c>
      <c r="F44" s="150">
        <f>SUM(F43)</f>
        <v>3969000</v>
      </c>
      <c r="G44" s="148">
        <f>SUM(G43)</f>
        <v>11250000</v>
      </c>
      <c r="H44" s="148">
        <f>SUM(H43)</f>
        <v>15000000</v>
      </c>
      <c r="I44" s="149">
        <f>SUM(I43)</f>
        <v>0</v>
      </c>
    </row>
    <row r="45" spans="8:9" ht="13.5" thickBot="1">
      <c r="H45" s="23"/>
      <c r="I45" s="30"/>
    </row>
    <row r="46" spans="2:9" ht="13.5" thickBot="1">
      <c r="B46" s="14"/>
      <c r="C46" s="143"/>
      <c r="D46" s="99" t="s">
        <v>20</v>
      </c>
      <c r="E46" s="260"/>
      <c r="F46" s="261"/>
      <c r="G46" s="261"/>
      <c r="H46" s="97"/>
      <c r="I46" s="93"/>
    </row>
    <row r="47" spans="2:9" ht="13.5" thickBot="1">
      <c r="B47" s="14"/>
      <c r="C47" s="151">
        <v>11010.201</v>
      </c>
      <c r="D47" s="152" t="s">
        <v>20</v>
      </c>
      <c r="E47" s="153">
        <v>89000000</v>
      </c>
      <c r="F47" s="154">
        <v>88359224</v>
      </c>
      <c r="G47" s="154">
        <f>E47/12*9</f>
        <v>66750000</v>
      </c>
      <c r="H47" s="154">
        <v>88359224</v>
      </c>
      <c r="I47" s="95">
        <f>H47-E47</f>
        <v>-640776</v>
      </c>
    </row>
    <row r="48" spans="2:9" ht="13.5" thickBot="1">
      <c r="B48" s="14"/>
      <c r="C48" s="145"/>
      <c r="D48" s="146" t="s">
        <v>5</v>
      </c>
      <c r="E48" s="147">
        <f>SUM(E47:E47)</f>
        <v>89000000</v>
      </c>
      <c r="F48" s="148">
        <f>SUM(F47)</f>
        <v>88359224</v>
      </c>
      <c r="G48" s="148">
        <f>SUM(G47)</f>
        <v>66750000</v>
      </c>
      <c r="H48" s="148">
        <f>SUM(H47)</f>
        <v>88359224</v>
      </c>
      <c r="I48" s="149">
        <f>SUM(I47)</f>
        <v>-640776</v>
      </c>
    </row>
    <row r="49" ht="13.5" thickBot="1"/>
    <row r="50" spans="2:9" ht="13.5" thickBot="1">
      <c r="B50" s="14"/>
      <c r="C50" s="143"/>
      <c r="D50" s="99" t="s">
        <v>81</v>
      </c>
      <c r="E50" s="260"/>
      <c r="F50" s="261"/>
      <c r="G50" s="261"/>
      <c r="H50" s="97"/>
      <c r="I50" s="93"/>
    </row>
    <row r="51" spans="2:9" ht="13.5" thickBot="1">
      <c r="B51" s="14"/>
      <c r="C51" s="127">
        <v>11010.201</v>
      </c>
      <c r="D51" s="128" t="s">
        <v>82</v>
      </c>
      <c r="E51" s="129">
        <v>1000000</v>
      </c>
      <c r="F51" s="130">
        <v>1000000</v>
      </c>
      <c r="G51" s="130">
        <f>E51/12*9</f>
        <v>750000</v>
      </c>
      <c r="H51" s="130">
        <v>0</v>
      </c>
      <c r="I51" s="246">
        <f>H51-E51</f>
        <v>-1000000</v>
      </c>
    </row>
    <row r="52" spans="2:9" ht="13.5" thickBot="1">
      <c r="B52" s="14"/>
      <c r="C52" s="145"/>
      <c r="D52" s="146" t="s">
        <v>5</v>
      </c>
      <c r="E52" s="147">
        <f>SUM(E51:E51)</f>
        <v>1000000</v>
      </c>
      <c r="F52" s="148">
        <f>SUM(F51)</f>
        <v>1000000</v>
      </c>
      <c r="G52" s="148">
        <f>SUM(G51)</f>
        <v>750000</v>
      </c>
      <c r="H52" s="148">
        <f>SUM(H51)</f>
        <v>0</v>
      </c>
      <c r="I52" s="149">
        <f>SUM(I51)</f>
        <v>-1000000</v>
      </c>
    </row>
    <row r="53" spans="8:9" ht="13.5" thickBot="1">
      <c r="H53" s="71"/>
      <c r="I53" s="30"/>
    </row>
    <row r="54" spans="2:9" ht="13.5" thickBot="1">
      <c r="B54" s="14"/>
      <c r="C54" s="32"/>
      <c r="D54" s="33" t="s">
        <v>21</v>
      </c>
      <c r="E54" s="34">
        <f>E18+E23+E30+E34+E40+E44+E48+E52</f>
        <v>916550000</v>
      </c>
      <c r="F54" s="35">
        <f>F18+F23+F30+F34+F40+F44+F48</f>
        <v>829294719</v>
      </c>
      <c r="G54" s="35">
        <f>G18+G23+G30+G34+G40+G44+G48</f>
        <v>684778934.25</v>
      </c>
      <c r="H54" s="35">
        <f>H48+H44+H40+H34+H30+H23+H18+H52</f>
        <v>953964367.4545455</v>
      </c>
      <c r="I54" s="36">
        <f>H54-E54</f>
        <v>37414367.4545455</v>
      </c>
    </row>
    <row r="55" spans="3:9" ht="12.75">
      <c r="C55" s="37"/>
      <c r="D55" s="37"/>
      <c r="E55" s="38"/>
      <c r="F55" s="38"/>
      <c r="G55" s="39"/>
      <c r="H55" s="39"/>
      <c r="I55" s="39"/>
    </row>
    <row r="56" spans="3:9" ht="12.75">
      <c r="C56" s="37"/>
      <c r="D56" s="40"/>
      <c r="E56" s="37"/>
      <c r="F56" s="41"/>
      <c r="G56" s="39"/>
      <c r="H56" s="39"/>
      <c r="I56" s="39"/>
    </row>
    <row r="57" spans="3:9" ht="12.75">
      <c r="C57" s="37"/>
      <c r="D57" s="42"/>
      <c r="E57" s="42"/>
      <c r="F57" s="43"/>
      <c r="G57" s="39"/>
      <c r="H57" s="259"/>
      <c r="I57" s="259"/>
    </row>
    <row r="58" spans="3:9" ht="12.75">
      <c r="C58" s="37"/>
      <c r="D58" s="42"/>
      <c r="E58" s="42"/>
      <c r="F58" s="43"/>
      <c r="G58" s="39"/>
      <c r="H58" s="39"/>
      <c r="I58" s="39"/>
    </row>
    <row r="59" spans="3:9" ht="12.75">
      <c r="C59" s="37"/>
      <c r="D59" s="42"/>
      <c r="E59" s="42"/>
      <c r="F59" s="43"/>
      <c r="G59" s="39"/>
      <c r="H59" s="39"/>
      <c r="I59" s="39"/>
    </row>
    <row r="60" spans="3:9" ht="12.75">
      <c r="C60" s="37"/>
      <c r="D60" s="42"/>
      <c r="E60" s="42"/>
      <c r="F60" s="43"/>
      <c r="G60" s="39"/>
      <c r="H60" s="39"/>
      <c r="I60" s="39"/>
    </row>
    <row r="61" spans="3:9" ht="12.75">
      <c r="C61" s="37"/>
      <c r="D61" s="42"/>
      <c r="E61" s="42"/>
      <c r="F61" s="43"/>
      <c r="G61" s="39"/>
      <c r="H61" s="39"/>
      <c r="I61" s="39"/>
    </row>
    <row r="62" spans="3:9" ht="12.75">
      <c r="C62" s="37"/>
      <c r="D62" s="42"/>
      <c r="E62" s="42"/>
      <c r="F62" s="43"/>
      <c r="G62" s="39"/>
      <c r="H62" s="39"/>
      <c r="I62" s="39"/>
    </row>
    <row r="63" spans="3:9" ht="12.75">
      <c r="C63" s="37"/>
      <c r="D63" s="42"/>
      <c r="E63" s="42"/>
      <c r="F63" s="43"/>
      <c r="G63" s="39"/>
      <c r="H63" s="39"/>
      <c r="I63" s="39"/>
    </row>
    <row r="64" spans="3:9" ht="12.75">
      <c r="C64" s="37"/>
      <c r="D64" s="42"/>
      <c r="E64" s="42"/>
      <c r="F64" s="44"/>
      <c r="G64" s="39"/>
      <c r="H64" s="39"/>
      <c r="I64" s="39"/>
    </row>
    <row r="65" spans="3:9" ht="12.75">
      <c r="C65" s="37"/>
      <c r="D65" s="38"/>
      <c r="E65" s="38"/>
      <c r="F65" s="43"/>
      <c r="G65" s="39"/>
      <c r="H65" s="39"/>
      <c r="I65" s="39"/>
    </row>
    <row r="66" spans="3:9" ht="12.75">
      <c r="C66" s="37"/>
      <c r="D66" s="38"/>
      <c r="E66" s="38"/>
      <c r="F66" s="45"/>
      <c r="G66" s="39"/>
      <c r="H66" s="39"/>
      <c r="I66" s="39"/>
    </row>
    <row r="67" spans="3:9" ht="12.75">
      <c r="C67" s="37"/>
      <c r="D67" s="38"/>
      <c r="E67" s="38"/>
      <c r="F67" s="38"/>
      <c r="G67" s="39"/>
      <c r="H67" s="39"/>
      <c r="I67" s="39"/>
    </row>
    <row r="68" spans="3:9" ht="12.75">
      <c r="C68" s="37"/>
      <c r="D68" s="38"/>
      <c r="E68" s="38"/>
      <c r="F68" s="38"/>
      <c r="G68" s="39"/>
      <c r="H68" s="39"/>
      <c r="I68" s="39"/>
    </row>
    <row r="69" spans="3:9" ht="12.75">
      <c r="C69" s="37"/>
      <c r="D69" s="38"/>
      <c r="E69" s="38"/>
      <c r="F69" s="38"/>
      <c r="G69" s="39"/>
      <c r="H69" s="39"/>
      <c r="I69" s="39"/>
    </row>
    <row r="70" spans="3:9" ht="12.75">
      <c r="C70" s="37"/>
      <c r="D70" s="38"/>
      <c r="E70" s="38"/>
      <c r="F70" s="38"/>
      <c r="G70" s="39"/>
      <c r="H70" s="39"/>
      <c r="I70" s="39"/>
    </row>
    <row r="71" spans="3:9" ht="12.75">
      <c r="C71" s="37"/>
      <c r="D71" s="38"/>
      <c r="E71" s="38"/>
      <c r="F71" s="38"/>
      <c r="G71" s="39"/>
      <c r="H71" s="39"/>
      <c r="I71" s="39"/>
    </row>
    <row r="72" spans="3:9" ht="12.75">
      <c r="C72" s="37"/>
      <c r="D72" s="38"/>
      <c r="E72" s="38"/>
      <c r="F72" s="38"/>
      <c r="G72" s="39"/>
      <c r="H72" s="39"/>
      <c r="I72" s="39"/>
    </row>
    <row r="73" spans="3:9" ht="12.75">
      <c r="C73" s="37"/>
      <c r="D73" s="38"/>
      <c r="E73" s="38"/>
      <c r="F73" s="38"/>
      <c r="G73" s="39"/>
      <c r="H73" s="39"/>
      <c r="I73" s="39"/>
    </row>
    <row r="74" spans="3:9" ht="12.75">
      <c r="C74" s="37"/>
      <c r="D74" s="38"/>
      <c r="E74" s="38"/>
      <c r="F74" s="38"/>
      <c r="G74" s="39"/>
      <c r="H74" s="39"/>
      <c r="I74" s="39"/>
    </row>
    <row r="75" spans="3:9" ht="12.75">
      <c r="C75" s="37"/>
      <c r="D75" s="40"/>
      <c r="E75" s="38"/>
      <c r="F75" s="38"/>
      <c r="G75" s="39"/>
      <c r="H75" s="39"/>
      <c r="I75" s="39"/>
    </row>
    <row r="76" spans="3:9" ht="12.75">
      <c r="C76" s="37"/>
      <c r="D76" s="38"/>
      <c r="E76" s="38"/>
      <c r="F76" s="38"/>
      <c r="G76" s="39"/>
      <c r="H76" s="39"/>
      <c r="I76" s="39"/>
    </row>
    <row r="77" spans="3:9" ht="12.75">
      <c r="C77" s="37"/>
      <c r="D77" s="38"/>
      <c r="E77" s="38"/>
      <c r="F77" s="38"/>
      <c r="G77" s="39"/>
      <c r="H77" s="39"/>
      <c r="I77" s="39"/>
    </row>
    <row r="78" spans="3:9" ht="12.75">
      <c r="C78" s="37"/>
      <c r="D78" s="38"/>
      <c r="E78" s="38"/>
      <c r="F78" s="38"/>
      <c r="G78" s="39"/>
      <c r="H78" s="39"/>
      <c r="I78" s="39"/>
    </row>
    <row r="79" spans="3:9" ht="12.75">
      <c r="C79" s="37"/>
      <c r="D79" s="37"/>
      <c r="E79" s="38"/>
      <c r="F79" s="38"/>
      <c r="G79" s="39"/>
      <c r="H79" s="39"/>
      <c r="I79" s="39"/>
    </row>
    <row r="80" spans="3:9" ht="12.75">
      <c r="C80" s="37"/>
      <c r="D80" s="37"/>
      <c r="E80" s="38"/>
      <c r="F80" s="38"/>
      <c r="G80" s="39"/>
      <c r="H80" s="39"/>
      <c r="I80" s="39"/>
    </row>
    <row r="81" spans="3:9" ht="12.75">
      <c r="C81" s="37"/>
      <c r="D81" s="37"/>
      <c r="E81" s="38"/>
      <c r="F81" s="46"/>
      <c r="G81" s="39"/>
      <c r="H81" s="39"/>
      <c r="I81" s="39"/>
    </row>
    <row r="82" spans="3:9" ht="12.75">
      <c r="C82" s="37"/>
      <c r="D82" s="37"/>
      <c r="E82" s="38"/>
      <c r="F82" s="47"/>
      <c r="G82" s="39"/>
      <c r="H82" s="39"/>
      <c r="I82" s="39"/>
    </row>
    <row r="83" spans="3:9" ht="12.75">
      <c r="C83" s="37"/>
      <c r="D83" s="37"/>
      <c r="E83" s="38"/>
      <c r="F83" s="38"/>
      <c r="G83" s="39"/>
      <c r="H83" s="39"/>
      <c r="I83" s="39"/>
    </row>
    <row r="84" spans="3:9" ht="12.75">
      <c r="C84" s="37"/>
      <c r="D84" s="37"/>
      <c r="E84" s="38"/>
      <c r="F84" s="48"/>
      <c r="G84" s="39"/>
      <c r="H84" s="39"/>
      <c r="I84" s="39"/>
    </row>
    <row r="85" spans="3:9" ht="12.75">
      <c r="C85" s="37"/>
      <c r="D85" s="37"/>
      <c r="E85" s="38"/>
      <c r="F85" s="40"/>
      <c r="G85" s="39"/>
      <c r="H85" s="39"/>
      <c r="I85" s="39"/>
    </row>
    <row r="86" spans="3:9" ht="12.75">
      <c r="C86" s="37"/>
      <c r="D86" s="37"/>
      <c r="E86" s="38"/>
      <c r="F86" s="40"/>
      <c r="G86" s="39"/>
      <c r="H86" s="39"/>
      <c r="I86" s="39"/>
    </row>
    <row r="87" spans="3:9" ht="12.75">
      <c r="C87" s="37"/>
      <c r="D87" s="37"/>
      <c r="E87" s="38"/>
      <c r="F87" s="38"/>
      <c r="G87" s="39"/>
      <c r="H87" s="39"/>
      <c r="I87" s="39"/>
    </row>
    <row r="88" spans="3:9" ht="12.75">
      <c r="C88" s="37"/>
      <c r="D88" s="37"/>
      <c r="E88" s="37"/>
      <c r="F88" s="38"/>
      <c r="G88" s="39"/>
      <c r="H88" s="39"/>
      <c r="I88" s="39"/>
    </row>
    <row r="89" spans="3:9" ht="12.75">
      <c r="C89" s="37"/>
      <c r="D89" s="37"/>
      <c r="E89" s="37"/>
      <c r="F89" s="38"/>
      <c r="G89" s="39"/>
      <c r="H89" s="39"/>
      <c r="I89" s="39"/>
    </row>
    <row r="90" spans="3:9" ht="12.75">
      <c r="C90" s="37"/>
      <c r="D90" s="37"/>
      <c r="E90" s="37"/>
      <c r="F90" s="37"/>
      <c r="G90" s="39"/>
      <c r="H90" s="39"/>
      <c r="I90" s="39"/>
    </row>
    <row r="91" spans="3:9" ht="12.75">
      <c r="C91" s="37"/>
      <c r="D91" s="37"/>
      <c r="E91" s="37"/>
      <c r="F91" s="37"/>
      <c r="G91" s="39"/>
      <c r="H91" s="39"/>
      <c r="I91" s="39"/>
    </row>
    <row r="92" spans="3:9" ht="12.75">
      <c r="C92" s="37"/>
      <c r="D92" s="37"/>
      <c r="E92" s="37"/>
      <c r="F92" s="37"/>
      <c r="G92" s="39"/>
      <c r="H92" s="39"/>
      <c r="I92" s="39"/>
    </row>
    <row r="93" spans="3:9" ht="12.75">
      <c r="C93" s="37"/>
      <c r="D93" s="37"/>
      <c r="E93" s="37"/>
      <c r="F93" s="37"/>
      <c r="G93" s="39"/>
      <c r="H93" s="39"/>
      <c r="I93" s="39"/>
    </row>
    <row r="94" spans="3:6" ht="12.75">
      <c r="C94" s="2"/>
      <c r="D94" s="2"/>
      <c r="E94" s="2"/>
      <c r="F94" s="2"/>
    </row>
    <row r="95" spans="3:6" ht="12.75">
      <c r="C95" s="2"/>
      <c r="D95" s="2"/>
      <c r="E95" s="2"/>
      <c r="F95" s="2"/>
    </row>
    <row r="96" spans="3:6" ht="12.75">
      <c r="C96" s="2"/>
      <c r="D96" s="2"/>
      <c r="E96" s="2"/>
      <c r="F96" s="2"/>
    </row>
    <row r="97" spans="3:6" ht="12.75">
      <c r="C97" s="2"/>
      <c r="D97" s="2"/>
      <c r="E97" s="2"/>
      <c r="F97" s="2"/>
    </row>
    <row r="98" spans="3:6" ht="12.75">
      <c r="C98" s="2"/>
      <c r="D98" s="2"/>
      <c r="E98" s="2"/>
      <c r="F98" s="2"/>
    </row>
    <row r="99" spans="3:6" ht="12.75">
      <c r="C99" s="2"/>
      <c r="D99" s="2"/>
      <c r="E99" s="2"/>
      <c r="F99" s="2"/>
    </row>
    <row r="100" spans="3:6" ht="12.75">
      <c r="C100" s="2"/>
      <c r="D100" s="2"/>
      <c r="E100" s="2"/>
      <c r="F100" s="2"/>
    </row>
    <row r="101" spans="3:6" ht="12.75">
      <c r="C101" s="2"/>
      <c r="D101" s="2"/>
      <c r="E101" s="2"/>
      <c r="F101" s="2"/>
    </row>
    <row r="102" spans="3:6" ht="12.75">
      <c r="C102" s="2"/>
      <c r="D102" s="2"/>
      <c r="E102" s="2"/>
      <c r="F102" s="2"/>
    </row>
    <row r="103" spans="3:6" ht="12.75">
      <c r="C103" s="2"/>
      <c r="D103" s="2"/>
      <c r="E103" s="2"/>
      <c r="F103" s="2"/>
    </row>
    <row r="104" spans="3:6" ht="12.75">
      <c r="C104" s="2"/>
      <c r="D104" s="2"/>
      <c r="E104" s="2"/>
      <c r="F104" s="2"/>
    </row>
    <row r="105" spans="3:6" ht="12.75">
      <c r="C105" s="2"/>
      <c r="D105" s="2"/>
      <c r="E105" s="2"/>
      <c r="F105" s="2"/>
    </row>
    <row r="106" spans="3:6" ht="12.75">
      <c r="C106" s="2"/>
      <c r="D106" s="2"/>
      <c r="E106" s="2"/>
      <c r="F106" s="2"/>
    </row>
    <row r="107" spans="3:6" ht="12.75">
      <c r="C107" s="2"/>
      <c r="D107" s="2"/>
      <c r="E107" s="2"/>
      <c r="F107" s="2"/>
    </row>
    <row r="108" spans="3:6" ht="12.75">
      <c r="C108" s="2"/>
      <c r="D108" s="2"/>
      <c r="E108" s="2"/>
      <c r="F108" s="2"/>
    </row>
    <row r="109" spans="3:6" ht="12.75">
      <c r="C109" s="2"/>
      <c r="D109" s="2"/>
      <c r="E109" s="2"/>
      <c r="F109" s="2"/>
    </row>
    <row r="110" spans="3:6" ht="12.75">
      <c r="C110" s="2"/>
      <c r="D110" s="2"/>
      <c r="E110" s="2"/>
      <c r="F110" s="2"/>
    </row>
    <row r="111" spans="3:6" ht="12.75">
      <c r="C111" s="2"/>
      <c r="D111" s="2"/>
      <c r="E111" s="2"/>
      <c r="F111" s="2"/>
    </row>
    <row r="112" spans="3:6" ht="12.75">
      <c r="C112" s="2"/>
      <c r="D112" s="2"/>
      <c r="E112" s="2"/>
      <c r="F112" s="2"/>
    </row>
    <row r="113" spans="3:6" ht="12.75">
      <c r="C113" s="2"/>
      <c r="D113" s="2"/>
      <c r="E113" s="2"/>
      <c r="F113" s="2"/>
    </row>
  </sheetData>
  <sheetProtection/>
  <mergeCells count="24">
    <mergeCell ref="H57:I57"/>
    <mergeCell ref="E50:G50"/>
    <mergeCell ref="E46:G46"/>
    <mergeCell ref="E42:G42"/>
    <mergeCell ref="E13:E14"/>
    <mergeCell ref="G13:G14"/>
    <mergeCell ref="C41:G41"/>
    <mergeCell ref="E32:G32"/>
    <mergeCell ref="E36:G36"/>
    <mergeCell ref="E16:G16"/>
    <mergeCell ref="E25:G25"/>
    <mergeCell ref="E20:G20"/>
    <mergeCell ref="B6:G6"/>
    <mergeCell ref="D13:D14"/>
    <mergeCell ref="D9:E9"/>
    <mergeCell ref="F13:F14"/>
    <mergeCell ref="C13:C14"/>
    <mergeCell ref="D10:E10"/>
    <mergeCell ref="I13:I14"/>
    <mergeCell ref="H13:H14"/>
    <mergeCell ref="B1:F1"/>
    <mergeCell ref="B2:F2"/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85"/>
  <sheetViews>
    <sheetView showGridLines="0" zoomScalePageLayoutView="0" workbookViewId="0" topLeftCell="A1">
      <pane ySplit="7" topLeftCell="A20" activePane="bottomLeft" state="frozen"/>
      <selection pane="topLeft" activeCell="A1" sqref="A1"/>
      <selection pane="bottomLeft" activeCell="AA16" sqref="AA16"/>
    </sheetView>
  </sheetViews>
  <sheetFormatPr defaultColWidth="11.421875" defaultRowHeight="15"/>
  <cols>
    <col min="1" max="1" width="7.421875" style="1" customWidth="1"/>
    <col min="2" max="2" width="8.421875" style="1" customWidth="1"/>
    <col min="3" max="3" width="25.57421875" style="1" customWidth="1"/>
    <col min="4" max="4" width="13.8515625" style="1" customWidth="1"/>
    <col min="5" max="5" width="12.140625" style="1" customWidth="1"/>
    <col min="6" max="7" width="13.8515625" style="1" hidden="1" customWidth="1"/>
    <col min="8" max="8" width="3.140625" style="1" hidden="1" customWidth="1"/>
    <col min="9" max="9" width="3.28125" style="1" hidden="1" customWidth="1"/>
    <col min="10" max="10" width="1.57421875" style="1" hidden="1" customWidth="1"/>
    <col min="11" max="11" width="2.8515625" style="1" hidden="1" customWidth="1"/>
    <col min="12" max="12" width="2.28125" style="1" hidden="1" customWidth="1"/>
    <col min="13" max="13" width="1.57421875" style="1" hidden="1" customWidth="1"/>
    <col min="14" max="14" width="2.140625" style="1" hidden="1" customWidth="1"/>
    <col min="15" max="15" width="5.8515625" style="1" hidden="1" customWidth="1"/>
    <col min="16" max="16" width="4.421875" style="1" hidden="1" customWidth="1"/>
    <col min="17" max="17" width="12.57421875" style="1" hidden="1" customWidth="1"/>
    <col min="18" max="18" width="12.140625" style="1" hidden="1" customWidth="1"/>
    <col min="19" max="19" width="11.28125" style="10" bestFit="1" customWidth="1"/>
    <col min="20" max="20" width="13.00390625" style="10" hidden="1" customWidth="1"/>
    <col min="21" max="21" width="12.140625" style="10" hidden="1" customWidth="1"/>
    <col min="22" max="23" width="10.8515625" style="10" hidden="1" customWidth="1"/>
    <col min="24" max="24" width="15.140625" style="10" hidden="1" customWidth="1"/>
    <col min="25" max="25" width="12.421875" style="1" customWidth="1"/>
    <col min="26" max="26" width="13.421875" style="1" bestFit="1" customWidth="1"/>
    <col min="27" max="27" width="15.28125" style="1" customWidth="1"/>
    <col min="28" max="28" width="11.140625" style="1" customWidth="1"/>
    <col min="29" max="29" width="21.7109375" style="1" customWidth="1"/>
    <col min="30" max="16384" width="11.421875" style="1" customWidth="1"/>
  </cols>
  <sheetData>
    <row r="1" spans="2:25" ht="14.25" customHeight="1">
      <c r="B1" s="278" t="s">
        <v>0</v>
      </c>
      <c r="C1" s="278"/>
      <c r="D1" s="278"/>
      <c r="E1" s="278"/>
      <c r="F1" s="278"/>
      <c r="G1" s="278"/>
      <c r="H1" s="278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72"/>
      <c r="T1" s="72"/>
      <c r="U1" s="72"/>
      <c r="V1" s="72"/>
      <c r="W1" s="72"/>
      <c r="X1" s="72"/>
      <c r="Y1" s="73"/>
    </row>
    <row r="2" spans="2:25" ht="14.25" customHeight="1">
      <c r="B2" s="278" t="s">
        <v>1</v>
      </c>
      <c r="C2" s="278"/>
      <c r="D2" s="278"/>
      <c r="E2" s="278"/>
      <c r="F2" s="278"/>
      <c r="G2" s="278"/>
      <c r="H2" s="278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72"/>
      <c r="T2" s="72"/>
      <c r="U2" s="72"/>
      <c r="V2" s="72"/>
      <c r="W2" s="72"/>
      <c r="X2" s="72"/>
      <c r="Y2" s="73"/>
    </row>
    <row r="3" spans="2:25" ht="14.25" customHeight="1">
      <c r="B3" s="278" t="s">
        <v>110</v>
      </c>
      <c r="C3" s="278"/>
      <c r="D3" s="278"/>
      <c r="E3" s="278"/>
      <c r="F3" s="278"/>
      <c r="G3" s="278"/>
      <c r="H3" s="278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72"/>
      <c r="T3" s="72"/>
      <c r="U3" s="72"/>
      <c r="V3" s="72"/>
      <c r="W3" s="72"/>
      <c r="X3" s="72"/>
      <c r="Y3" s="73"/>
    </row>
    <row r="4" spans="2:25" ht="14.25" customHeight="1" thickBot="1">
      <c r="B4" s="278" t="s">
        <v>115</v>
      </c>
      <c r="C4" s="278"/>
      <c r="D4" s="278"/>
      <c r="E4" s="278"/>
      <c r="F4" s="278"/>
      <c r="G4" s="278"/>
      <c r="H4" s="278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72">
        <v>1</v>
      </c>
      <c r="T4" s="72"/>
      <c r="U4" s="72">
        <v>3</v>
      </c>
      <c r="V4" s="72">
        <v>2</v>
      </c>
      <c r="W4" s="72"/>
      <c r="X4" s="72"/>
      <c r="Y4" s="73"/>
    </row>
    <row r="5" spans="2:24" ht="3" customHeight="1" hidden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1"/>
      <c r="T5" s="11"/>
      <c r="U5" s="11"/>
      <c r="V5" s="11"/>
      <c r="W5" s="11"/>
      <c r="X5" s="11"/>
    </row>
    <row r="6" spans="2:25" s="5" customFormat="1" ht="11.25" customHeight="1">
      <c r="B6" s="272" t="s">
        <v>2</v>
      </c>
      <c r="C6" s="272" t="s">
        <v>67</v>
      </c>
      <c r="D6" s="272" t="s">
        <v>109</v>
      </c>
      <c r="E6" s="272" t="s">
        <v>112</v>
      </c>
      <c r="F6" s="272" t="s">
        <v>88</v>
      </c>
      <c r="G6" s="272" t="s">
        <v>89</v>
      </c>
      <c r="H6" s="272" t="s">
        <v>90</v>
      </c>
      <c r="I6" s="272" t="s">
        <v>91</v>
      </c>
      <c r="J6" s="272" t="s">
        <v>92</v>
      </c>
      <c r="K6" s="272" t="s">
        <v>93</v>
      </c>
      <c r="L6" s="272" t="s">
        <v>94</v>
      </c>
      <c r="M6" s="272" t="s">
        <v>95</v>
      </c>
      <c r="N6" s="272" t="s">
        <v>96</v>
      </c>
      <c r="O6" s="272" t="s">
        <v>97</v>
      </c>
      <c r="P6" s="272" t="s">
        <v>98</v>
      </c>
      <c r="Q6" s="272" t="s">
        <v>99</v>
      </c>
      <c r="R6" s="274" t="s">
        <v>108</v>
      </c>
      <c r="S6" s="270" t="s">
        <v>107</v>
      </c>
      <c r="T6" s="276" t="s">
        <v>106</v>
      </c>
      <c r="U6" s="270" t="s">
        <v>105</v>
      </c>
      <c r="V6" s="270" t="s">
        <v>104</v>
      </c>
      <c r="W6" s="276" t="s">
        <v>103</v>
      </c>
      <c r="X6" s="279" t="s">
        <v>102</v>
      </c>
      <c r="Y6" s="268" t="s">
        <v>87</v>
      </c>
    </row>
    <row r="7" spans="2:25" s="5" customFormat="1" ht="24.75" customHeight="1" thickBot="1"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5"/>
      <c r="S7" s="271"/>
      <c r="T7" s="277"/>
      <c r="U7" s="271"/>
      <c r="V7" s="271"/>
      <c r="W7" s="277"/>
      <c r="X7" s="280"/>
      <c r="Y7" s="269"/>
    </row>
    <row r="8" spans="2:25" s="5" customFormat="1" ht="12" customHeight="1" thickBot="1">
      <c r="B8" s="50"/>
      <c r="C8" s="51" t="s">
        <v>22</v>
      </c>
      <c r="D8" s="221"/>
      <c r="E8" s="222"/>
      <c r="F8" s="221"/>
      <c r="G8" s="221"/>
      <c r="H8" s="220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84"/>
      <c r="T8" s="115"/>
      <c r="U8" s="115"/>
      <c r="V8" s="115"/>
      <c r="W8" s="115"/>
      <c r="X8" s="84"/>
      <c r="Y8" s="116"/>
    </row>
    <row r="9" spans="2:25" s="5" customFormat="1" ht="12" customHeight="1" thickBot="1">
      <c r="B9" s="52">
        <v>21020.001</v>
      </c>
      <c r="C9" s="53" t="s">
        <v>4</v>
      </c>
      <c r="D9" s="54">
        <v>0</v>
      </c>
      <c r="E9" s="54"/>
      <c r="F9" s="54"/>
      <c r="G9" s="54"/>
      <c r="H9" s="54">
        <v>0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0</v>
      </c>
      <c r="T9" s="54"/>
      <c r="U9" s="54"/>
      <c r="V9" s="54"/>
      <c r="W9" s="54"/>
      <c r="X9" s="54"/>
      <c r="Y9" s="54">
        <f>D9-S9</f>
        <v>0</v>
      </c>
    </row>
    <row r="10" spans="2:25" s="5" customFormat="1" ht="12" customHeight="1" thickBot="1">
      <c r="B10" s="55"/>
      <c r="C10" s="55" t="s">
        <v>5</v>
      </c>
      <c r="D10" s="56">
        <f>SUM(D9:D9)</f>
        <v>0</v>
      </c>
      <c r="E10" s="56"/>
      <c r="F10" s="56"/>
      <c r="G10" s="56"/>
      <c r="H10" s="56">
        <f>SUM(H9:H9)</f>
        <v>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>
        <f>SUM(S9)</f>
        <v>0</v>
      </c>
      <c r="T10" s="56"/>
      <c r="U10" s="56"/>
      <c r="V10" s="56"/>
      <c r="W10" s="56"/>
      <c r="X10" s="56"/>
      <c r="Y10" s="56">
        <f>SUM(Y9)</f>
        <v>0</v>
      </c>
    </row>
    <row r="11" spans="2:25" s="5" customFormat="1" ht="12" customHeight="1" thickBot="1">
      <c r="B11" s="281"/>
      <c r="C11" s="282"/>
      <c r="D11" s="282"/>
      <c r="E11" s="282"/>
      <c r="F11" s="282"/>
      <c r="G11" s="282"/>
      <c r="H11" s="282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57"/>
      <c r="T11" s="57"/>
      <c r="U11" s="57"/>
      <c r="V11" s="57"/>
      <c r="W11" s="57"/>
      <c r="X11" s="57"/>
      <c r="Y11" s="58"/>
    </row>
    <row r="12" spans="2:25" s="5" customFormat="1" ht="12" customHeight="1" thickBot="1">
      <c r="B12" s="118"/>
      <c r="C12" s="59" t="s">
        <v>23</v>
      </c>
      <c r="D12" s="283"/>
      <c r="E12" s="284"/>
      <c r="F12" s="284"/>
      <c r="G12" s="284"/>
      <c r="H12" s="28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60"/>
      <c r="T12" s="60"/>
      <c r="U12" s="60"/>
      <c r="V12" s="60"/>
      <c r="W12" s="60"/>
      <c r="X12" s="60"/>
      <c r="Y12" s="61"/>
    </row>
    <row r="13" spans="2:25" s="5" customFormat="1" ht="12" customHeight="1">
      <c r="B13" s="101">
        <v>32010.001</v>
      </c>
      <c r="C13" s="102" t="s">
        <v>24</v>
      </c>
      <c r="D13" s="244">
        <v>87000000</v>
      </c>
      <c r="E13" s="198">
        <v>79142801</v>
      </c>
      <c r="F13" s="214">
        <v>4022190</v>
      </c>
      <c r="G13" s="134">
        <f>8669830-F13</f>
        <v>4647640</v>
      </c>
      <c r="H13" s="134">
        <f>17195271-G13-F13</f>
        <v>8525441</v>
      </c>
      <c r="I13" s="134">
        <f aca="true" t="shared" si="0" ref="I13:Q13">H13*0.07+H13</f>
        <v>9122221.870000001</v>
      </c>
      <c r="J13" s="134">
        <f t="shared" si="0"/>
        <v>9760777.4009</v>
      </c>
      <c r="K13" s="134">
        <f t="shared" si="0"/>
        <v>10444031.818963</v>
      </c>
      <c r="L13" s="134">
        <f t="shared" si="0"/>
        <v>11175114.04629041</v>
      </c>
      <c r="M13" s="134">
        <f t="shared" si="0"/>
        <v>11957372.02953074</v>
      </c>
      <c r="N13" s="134">
        <f t="shared" si="0"/>
        <v>12794388.07159789</v>
      </c>
      <c r="O13" s="134">
        <f t="shared" si="0"/>
        <v>13689995.236609744</v>
      </c>
      <c r="P13" s="134">
        <f t="shared" si="0"/>
        <v>14648294.903172426</v>
      </c>
      <c r="Q13" s="134">
        <f t="shared" si="0"/>
        <v>15673675.546394495</v>
      </c>
      <c r="R13" s="214">
        <f aca="true" t="shared" si="1" ref="R13:R28">SUM(F13:Q13)</f>
        <v>126461141.9234587</v>
      </c>
      <c r="S13" s="198">
        <f>E13/11*12</f>
        <v>86337601.0909091</v>
      </c>
      <c r="T13" s="62">
        <v>79542607</v>
      </c>
      <c r="U13" s="198">
        <v>84334857</v>
      </c>
      <c r="V13" s="62">
        <v>94000000</v>
      </c>
      <c r="W13" s="245">
        <v>94376606.03999999</v>
      </c>
      <c r="X13" s="114">
        <v>76728948</v>
      </c>
      <c r="Y13" s="62">
        <f>D13-S13</f>
        <v>662398.9090909064</v>
      </c>
    </row>
    <row r="14" spans="2:25" s="5" customFormat="1" ht="12" customHeight="1">
      <c r="B14" s="103">
        <v>32010.002</v>
      </c>
      <c r="C14" s="83" t="s">
        <v>25</v>
      </c>
      <c r="D14" s="218">
        <v>51000000</v>
      </c>
      <c r="E14" s="197">
        <v>43750405</v>
      </c>
      <c r="F14" s="217">
        <v>3653794</v>
      </c>
      <c r="G14" s="111">
        <v>3721506</v>
      </c>
      <c r="H14" s="111">
        <f>11462497-G14-F14</f>
        <v>4087197</v>
      </c>
      <c r="I14" s="111">
        <f aca="true" t="shared" si="2" ref="I14:Q14">H14*0.07+H14</f>
        <v>4373300.79</v>
      </c>
      <c r="J14" s="111">
        <f t="shared" si="2"/>
        <v>4679431.8453</v>
      </c>
      <c r="K14" s="111">
        <f t="shared" si="2"/>
        <v>5006992.074471001</v>
      </c>
      <c r="L14" s="111">
        <f t="shared" si="2"/>
        <v>5357481.519683971</v>
      </c>
      <c r="M14" s="111">
        <f t="shared" si="2"/>
        <v>5732505.226061849</v>
      </c>
      <c r="N14" s="111">
        <f t="shared" si="2"/>
        <v>6133780.591886179</v>
      </c>
      <c r="O14" s="111">
        <f t="shared" si="2"/>
        <v>6563145.2333182115</v>
      </c>
      <c r="P14" s="111">
        <f t="shared" si="2"/>
        <v>7022565.399650486</v>
      </c>
      <c r="Q14" s="111">
        <f t="shared" si="2"/>
        <v>7514144.97762602</v>
      </c>
      <c r="R14" s="217">
        <f t="shared" si="1"/>
        <v>63845844.65799771</v>
      </c>
      <c r="S14" s="198">
        <f aca="true" t="shared" si="3" ref="S14:S28">E14/11*12</f>
        <v>47727714.54545455</v>
      </c>
      <c r="T14" s="62">
        <v>47051176</v>
      </c>
      <c r="U14" s="198">
        <v>53784998</v>
      </c>
      <c r="V14" s="62">
        <v>48999856</v>
      </c>
      <c r="W14" s="216">
        <v>49815339.6</v>
      </c>
      <c r="X14" s="86">
        <v>41512783</v>
      </c>
      <c r="Y14" s="62">
        <f aca="true" t="shared" si="4" ref="Y14:Y28">D14-S14</f>
        <v>3272285.454545453</v>
      </c>
    </row>
    <row r="15" spans="2:25" s="5" customFormat="1" ht="12" customHeight="1">
      <c r="B15" s="103">
        <v>32010.004</v>
      </c>
      <c r="C15" s="83" t="s">
        <v>26</v>
      </c>
      <c r="D15" s="218">
        <v>26500000</v>
      </c>
      <c r="E15" s="197">
        <v>23162897</v>
      </c>
      <c r="F15" s="217">
        <v>1228742</v>
      </c>
      <c r="G15" s="111">
        <f>2633232-F15</f>
        <v>1404490</v>
      </c>
      <c r="H15" s="111">
        <f>5447419-G15-F15</f>
        <v>2814187</v>
      </c>
      <c r="I15" s="111">
        <f aca="true" t="shared" si="5" ref="I15:Q15">H15*0.07+H15</f>
        <v>3011180.09</v>
      </c>
      <c r="J15" s="111">
        <f t="shared" si="5"/>
        <v>3221962.6963</v>
      </c>
      <c r="K15" s="111">
        <f t="shared" si="5"/>
        <v>3447500.085041</v>
      </c>
      <c r="L15" s="111">
        <f t="shared" si="5"/>
        <v>3688825.09099387</v>
      </c>
      <c r="M15" s="111">
        <f t="shared" si="5"/>
        <v>3947042.847363441</v>
      </c>
      <c r="N15" s="111">
        <f t="shared" si="5"/>
        <v>4223335.846678882</v>
      </c>
      <c r="O15" s="111">
        <f t="shared" si="5"/>
        <v>4518969.355946404</v>
      </c>
      <c r="P15" s="111">
        <f t="shared" si="5"/>
        <v>4835297.210862652</v>
      </c>
      <c r="Q15" s="111">
        <f t="shared" si="5"/>
        <v>5173768.015623038</v>
      </c>
      <c r="R15" s="214">
        <f t="shared" si="1"/>
        <v>41515300.238809295</v>
      </c>
      <c r="S15" s="198">
        <f t="shared" si="3"/>
        <v>25268614.90909091</v>
      </c>
      <c r="T15" s="62">
        <v>17148572</v>
      </c>
      <c r="U15" s="198">
        <v>24225129</v>
      </c>
      <c r="V15" s="62">
        <v>23647415</v>
      </c>
      <c r="W15" s="216">
        <v>20569750.8</v>
      </c>
      <c r="X15" s="86">
        <v>17141459</v>
      </c>
      <c r="Y15" s="62">
        <f t="shared" si="4"/>
        <v>1231385.09090909</v>
      </c>
    </row>
    <row r="16" spans="2:25" s="5" customFormat="1" ht="12" customHeight="1">
      <c r="B16" s="103">
        <v>32010.017</v>
      </c>
      <c r="C16" s="83" t="s">
        <v>27</v>
      </c>
      <c r="D16" s="218">
        <v>59500000</v>
      </c>
      <c r="E16" s="197">
        <v>51235655</v>
      </c>
      <c r="F16" s="217">
        <v>1943540</v>
      </c>
      <c r="G16" s="111">
        <f>4550647-F16</f>
        <v>2607107</v>
      </c>
      <c r="H16" s="111">
        <f>11218308-G16-F16</f>
        <v>6667661</v>
      </c>
      <c r="I16" s="111">
        <f aca="true" t="shared" si="6" ref="I16:Q16">H16*0.07+H16</f>
        <v>7134397.27</v>
      </c>
      <c r="J16" s="111">
        <f t="shared" si="6"/>
        <v>7633805.078899999</v>
      </c>
      <c r="K16" s="111">
        <f t="shared" si="6"/>
        <v>8168171.434423</v>
      </c>
      <c r="L16" s="111">
        <f t="shared" si="6"/>
        <v>8739943.43483261</v>
      </c>
      <c r="M16" s="111">
        <f t="shared" si="6"/>
        <v>9351739.475270893</v>
      </c>
      <c r="N16" s="111">
        <f t="shared" si="6"/>
        <v>10006361.238539856</v>
      </c>
      <c r="O16" s="111">
        <f t="shared" si="6"/>
        <v>10706806.525237646</v>
      </c>
      <c r="P16" s="111">
        <f t="shared" si="6"/>
        <v>11456282.982004281</v>
      </c>
      <c r="Q16" s="111">
        <f t="shared" si="6"/>
        <v>12258222.79074458</v>
      </c>
      <c r="R16" s="214">
        <f t="shared" si="1"/>
        <v>96674038.22995287</v>
      </c>
      <c r="S16" s="198">
        <f t="shared" si="3"/>
        <v>55893441.81818182</v>
      </c>
      <c r="T16" s="62">
        <v>53903680</v>
      </c>
      <c r="U16" s="198">
        <v>59350472</v>
      </c>
      <c r="V16" s="62">
        <v>54098271</v>
      </c>
      <c r="W16" s="216">
        <v>56629371.8</v>
      </c>
      <c r="X16" s="86">
        <v>49242932</v>
      </c>
      <c r="Y16" s="62">
        <f t="shared" si="4"/>
        <v>3606558.18181818</v>
      </c>
    </row>
    <row r="17" spans="2:25" s="5" customFormat="1" ht="12" customHeight="1">
      <c r="B17" s="103">
        <v>32010.008</v>
      </c>
      <c r="C17" s="83" t="s">
        <v>28</v>
      </c>
      <c r="D17" s="218">
        <v>20500000</v>
      </c>
      <c r="E17" s="197">
        <v>17249907</v>
      </c>
      <c r="F17" s="217">
        <v>645913</v>
      </c>
      <c r="G17" s="111">
        <f>1776762-F17</f>
        <v>1130849</v>
      </c>
      <c r="H17" s="111">
        <f>4563603-G17-F17</f>
        <v>2786841</v>
      </c>
      <c r="I17" s="111">
        <f aca="true" t="shared" si="7" ref="I17:Q17">H17*0.07+H17</f>
        <v>2981919.87</v>
      </c>
      <c r="J17" s="111">
        <f t="shared" si="7"/>
        <v>3190654.2609</v>
      </c>
      <c r="K17" s="111">
        <f t="shared" si="7"/>
        <v>3414000.059163</v>
      </c>
      <c r="L17" s="111">
        <f t="shared" si="7"/>
        <v>3652980.06330441</v>
      </c>
      <c r="M17" s="111">
        <f t="shared" si="7"/>
        <v>3908688.6677357187</v>
      </c>
      <c r="N17" s="111">
        <f t="shared" si="7"/>
        <v>4182296.874477219</v>
      </c>
      <c r="O17" s="111">
        <f t="shared" si="7"/>
        <v>4475057.655690624</v>
      </c>
      <c r="P17" s="111">
        <f t="shared" si="7"/>
        <v>4788311.691588968</v>
      </c>
      <c r="Q17" s="111">
        <f t="shared" si="7"/>
        <v>5123493.510000195</v>
      </c>
      <c r="R17" s="214">
        <f t="shared" si="1"/>
        <v>40281005.652860135</v>
      </c>
      <c r="S17" s="198">
        <f t="shared" si="3"/>
        <v>18818080.363636363</v>
      </c>
      <c r="T17" s="62">
        <v>18548900</v>
      </c>
      <c r="U17" s="198">
        <v>15269748</v>
      </c>
      <c r="V17" s="62">
        <v>19971473</v>
      </c>
      <c r="W17" s="216">
        <v>18771117.12</v>
      </c>
      <c r="X17" s="86">
        <v>18403056</v>
      </c>
      <c r="Y17" s="62">
        <f t="shared" si="4"/>
        <v>1681919.6363636367</v>
      </c>
    </row>
    <row r="18" spans="2:25" s="5" customFormat="1" ht="12" customHeight="1">
      <c r="B18" s="103">
        <v>32010.018</v>
      </c>
      <c r="C18" s="83" t="s">
        <v>29</v>
      </c>
      <c r="D18" s="218">
        <v>5500000</v>
      </c>
      <c r="E18" s="197">
        <v>2378259</v>
      </c>
      <c r="F18" s="217">
        <v>186750</v>
      </c>
      <c r="G18" s="111">
        <f>371358-F18</f>
        <v>184608</v>
      </c>
      <c r="H18" s="111">
        <f>596428-G18-F18</f>
        <v>225070</v>
      </c>
      <c r="I18" s="111">
        <f aca="true" t="shared" si="8" ref="I18:Q18">H18*0.07+H18</f>
        <v>240824.9</v>
      </c>
      <c r="J18" s="111">
        <f t="shared" si="8"/>
        <v>257682.64299999998</v>
      </c>
      <c r="K18" s="111">
        <f t="shared" si="8"/>
        <v>275720.42801</v>
      </c>
      <c r="L18" s="111">
        <f t="shared" si="8"/>
        <v>295020.85797069996</v>
      </c>
      <c r="M18" s="111">
        <f t="shared" si="8"/>
        <v>315672.31802864897</v>
      </c>
      <c r="N18" s="111">
        <f t="shared" si="8"/>
        <v>337769.3802906544</v>
      </c>
      <c r="O18" s="111">
        <f t="shared" si="8"/>
        <v>361413.23691100016</v>
      </c>
      <c r="P18" s="111">
        <f t="shared" si="8"/>
        <v>386712.1634947702</v>
      </c>
      <c r="Q18" s="111">
        <f t="shared" si="8"/>
        <v>413782.0149394041</v>
      </c>
      <c r="R18" s="214">
        <f t="shared" si="1"/>
        <v>3481025.942645178</v>
      </c>
      <c r="S18" s="198">
        <f t="shared" si="3"/>
        <v>2594464.3636363638</v>
      </c>
      <c r="T18" s="62">
        <v>3161984</v>
      </c>
      <c r="U18" s="198">
        <v>2551739</v>
      </c>
      <c r="V18" s="62">
        <v>3160972</v>
      </c>
      <c r="W18" s="216">
        <v>3161984</v>
      </c>
      <c r="X18" s="86">
        <v>2606813</v>
      </c>
      <c r="Y18" s="62">
        <f t="shared" si="4"/>
        <v>2905535.6363636362</v>
      </c>
    </row>
    <row r="19" spans="2:25" s="5" customFormat="1" ht="12" customHeight="1">
      <c r="B19" s="103">
        <v>32010.003</v>
      </c>
      <c r="C19" s="83" t="s">
        <v>30</v>
      </c>
      <c r="D19" s="218">
        <v>3050000</v>
      </c>
      <c r="E19" s="197">
        <v>2422712</v>
      </c>
      <c r="F19" s="217">
        <v>150000</v>
      </c>
      <c r="G19" s="111">
        <f>300000-F19</f>
        <v>150000</v>
      </c>
      <c r="H19" s="111">
        <f>750000-G19-F19</f>
        <v>450000</v>
      </c>
      <c r="I19" s="111">
        <f aca="true" t="shared" si="9" ref="I19:Q19">H19*0.07+H19</f>
        <v>481500</v>
      </c>
      <c r="J19" s="111">
        <f t="shared" si="9"/>
        <v>515205</v>
      </c>
      <c r="K19" s="111">
        <f t="shared" si="9"/>
        <v>551269.35</v>
      </c>
      <c r="L19" s="111">
        <f t="shared" si="9"/>
        <v>589858.2045</v>
      </c>
      <c r="M19" s="111">
        <f t="shared" si="9"/>
        <v>631148.278815</v>
      </c>
      <c r="N19" s="111">
        <f t="shared" si="9"/>
        <v>675328.65833205</v>
      </c>
      <c r="O19" s="111">
        <f t="shared" si="9"/>
        <v>722601.6644152935</v>
      </c>
      <c r="P19" s="111">
        <f t="shared" si="9"/>
        <v>773183.780924364</v>
      </c>
      <c r="Q19" s="111">
        <f t="shared" si="9"/>
        <v>827306.6455890695</v>
      </c>
      <c r="R19" s="214">
        <f t="shared" si="1"/>
        <v>6517401.582575777</v>
      </c>
      <c r="S19" s="198">
        <f t="shared" si="3"/>
        <v>2642958.5454545454</v>
      </c>
      <c r="T19" s="62">
        <v>2637680</v>
      </c>
      <c r="U19" s="198">
        <v>2822712</v>
      </c>
      <c r="V19" s="62">
        <v>2769432</v>
      </c>
      <c r="W19" s="216">
        <v>2637680</v>
      </c>
      <c r="X19" s="86">
        <v>1792140</v>
      </c>
      <c r="Y19" s="62">
        <f t="shared" si="4"/>
        <v>407041.4545454546</v>
      </c>
    </row>
    <row r="20" spans="2:25" s="5" customFormat="1" ht="12" customHeight="1">
      <c r="B20" s="103">
        <v>32010.012</v>
      </c>
      <c r="C20" s="83" t="s">
        <v>31</v>
      </c>
      <c r="D20" s="218">
        <v>5300000</v>
      </c>
      <c r="E20" s="197">
        <v>4900000</v>
      </c>
      <c r="F20" s="217">
        <v>420000</v>
      </c>
      <c r="G20" s="111">
        <f>700000-F20</f>
        <v>280000</v>
      </c>
      <c r="H20" s="111">
        <f>1540000-G20-F20</f>
        <v>840000</v>
      </c>
      <c r="I20" s="111">
        <f aca="true" t="shared" si="10" ref="I20:Q20">H20*0.07+H20</f>
        <v>898800</v>
      </c>
      <c r="J20" s="111">
        <f t="shared" si="10"/>
        <v>961716</v>
      </c>
      <c r="K20" s="111">
        <f t="shared" si="10"/>
        <v>1029036.12</v>
      </c>
      <c r="L20" s="111">
        <f t="shared" si="10"/>
        <v>1101068.6484</v>
      </c>
      <c r="M20" s="111">
        <f t="shared" si="10"/>
        <v>1178143.4537880002</v>
      </c>
      <c r="N20" s="111">
        <f t="shared" si="10"/>
        <v>1260613.49555316</v>
      </c>
      <c r="O20" s="111">
        <f t="shared" si="10"/>
        <v>1348856.4402418812</v>
      </c>
      <c r="P20" s="111">
        <f t="shared" si="10"/>
        <v>1443276.3910588128</v>
      </c>
      <c r="Q20" s="111">
        <f t="shared" si="10"/>
        <v>1544305.7384329299</v>
      </c>
      <c r="R20" s="214">
        <f t="shared" si="1"/>
        <v>12305816.287474785</v>
      </c>
      <c r="S20" s="198">
        <f t="shared" si="3"/>
        <v>5345454.545454546</v>
      </c>
      <c r="T20" s="62">
        <v>4620000</v>
      </c>
      <c r="U20" s="198">
        <v>5600000</v>
      </c>
      <c r="V20" s="62">
        <v>5880000</v>
      </c>
      <c r="W20" s="216">
        <v>4620000</v>
      </c>
      <c r="X20" s="86">
        <v>3780000</v>
      </c>
      <c r="Y20" s="62">
        <f t="shared" si="4"/>
        <v>-45454.54545454588</v>
      </c>
    </row>
    <row r="21" spans="2:25" s="5" customFormat="1" ht="12" customHeight="1">
      <c r="B21" s="103">
        <v>32010.005</v>
      </c>
      <c r="C21" s="83" t="s">
        <v>61</v>
      </c>
      <c r="D21" s="218">
        <v>41000000</v>
      </c>
      <c r="E21" s="197">
        <v>35055671</v>
      </c>
      <c r="F21" s="217">
        <v>2562423</v>
      </c>
      <c r="G21" s="111">
        <f>4836810-F21</f>
        <v>2274387</v>
      </c>
      <c r="H21" s="111">
        <f>9189135-G21-F21</f>
        <v>4352325</v>
      </c>
      <c r="I21" s="111">
        <f aca="true" t="shared" si="11" ref="I21:Q21">H21*0.07+H21</f>
        <v>4656987.75</v>
      </c>
      <c r="J21" s="111">
        <f t="shared" si="11"/>
        <v>4982976.8925</v>
      </c>
      <c r="K21" s="111">
        <f t="shared" si="11"/>
        <v>5331785.274975</v>
      </c>
      <c r="L21" s="111">
        <f t="shared" si="11"/>
        <v>5705010.24422325</v>
      </c>
      <c r="M21" s="111">
        <f t="shared" si="11"/>
        <v>6104360.9613188775</v>
      </c>
      <c r="N21" s="111">
        <f t="shared" si="11"/>
        <v>6531666.228611199</v>
      </c>
      <c r="O21" s="111">
        <f t="shared" si="11"/>
        <v>6988882.864613983</v>
      </c>
      <c r="P21" s="111">
        <f t="shared" si="11"/>
        <v>7478104.665136961</v>
      </c>
      <c r="Q21" s="111">
        <f t="shared" si="11"/>
        <v>8001571.991696549</v>
      </c>
      <c r="R21" s="214">
        <f t="shared" si="1"/>
        <v>64970481.87307583</v>
      </c>
      <c r="S21" s="198">
        <f t="shared" si="3"/>
        <v>38242550.18181818</v>
      </c>
      <c r="T21" s="62">
        <v>41041543</v>
      </c>
      <c r="U21" s="198">
        <v>41041633</v>
      </c>
      <c r="V21" s="62">
        <v>42468753</v>
      </c>
      <c r="W21" s="216">
        <v>41041543</v>
      </c>
      <c r="X21" s="86">
        <v>29716258</v>
      </c>
      <c r="Y21" s="62">
        <f t="shared" si="4"/>
        <v>2757449.81818182</v>
      </c>
    </row>
    <row r="22" spans="2:25" s="5" customFormat="1" ht="12" customHeight="1">
      <c r="B22" s="103">
        <v>32010.007</v>
      </c>
      <c r="C22" s="83" t="s">
        <v>32</v>
      </c>
      <c r="D22" s="218">
        <v>17000000</v>
      </c>
      <c r="E22" s="197">
        <v>15378455</v>
      </c>
      <c r="F22" s="217">
        <v>880647</v>
      </c>
      <c r="G22" s="111">
        <f>2332207-F22</f>
        <v>1451560</v>
      </c>
      <c r="H22" s="111">
        <f>3960089-G22-F22</f>
        <v>1627882</v>
      </c>
      <c r="I22" s="111">
        <f aca="true" t="shared" si="12" ref="I22:Q22">H22*0.07+H22</f>
        <v>1741833.74</v>
      </c>
      <c r="J22" s="111">
        <f t="shared" si="12"/>
        <v>1863762.1018</v>
      </c>
      <c r="K22" s="111">
        <f t="shared" si="12"/>
        <v>1994225.4489260002</v>
      </c>
      <c r="L22" s="111">
        <f t="shared" si="12"/>
        <v>2133821.2303508203</v>
      </c>
      <c r="M22" s="111">
        <f t="shared" si="12"/>
        <v>2283188.716475378</v>
      </c>
      <c r="N22" s="111">
        <f t="shared" si="12"/>
        <v>2443011.9266286544</v>
      </c>
      <c r="O22" s="111">
        <f t="shared" si="12"/>
        <v>2614022.7614926603</v>
      </c>
      <c r="P22" s="111">
        <f t="shared" si="12"/>
        <v>2797004.3547971463</v>
      </c>
      <c r="Q22" s="111">
        <f t="shared" si="12"/>
        <v>2992794.6596329464</v>
      </c>
      <c r="R22" s="214">
        <f t="shared" si="1"/>
        <v>24823753.94010361</v>
      </c>
      <c r="S22" s="198">
        <f t="shared" si="3"/>
        <v>16776496.363636363</v>
      </c>
      <c r="T22" s="62">
        <v>18695271</v>
      </c>
      <c r="U22" s="198">
        <v>16130457</v>
      </c>
      <c r="V22" s="62">
        <v>18650696</v>
      </c>
      <c r="W22" s="216">
        <v>18695271</v>
      </c>
      <c r="X22" s="86">
        <v>15123497</v>
      </c>
      <c r="Y22" s="62">
        <f t="shared" si="4"/>
        <v>223503.6363636367</v>
      </c>
    </row>
    <row r="23" spans="2:25" s="5" customFormat="1" ht="12" customHeight="1">
      <c r="B23" s="103">
        <v>32010.024</v>
      </c>
      <c r="C23" s="83" t="s">
        <v>33</v>
      </c>
      <c r="D23" s="218">
        <v>20000000</v>
      </c>
      <c r="E23" s="197">
        <v>19437809</v>
      </c>
      <c r="F23" s="217">
        <v>1605672</v>
      </c>
      <c r="G23" s="111">
        <f>2687667-F23</f>
        <v>1081995</v>
      </c>
      <c r="H23" s="111">
        <f>4169629-G23-F23</f>
        <v>1481962</v>
      </c>
      <c r="I23" s="111">
        <f aca="true" t="shared" si="13" ref="I23:Q23">H23*0.07+H23</f>
        <v>1585699.34</v>
      </c>
      <c r="J23" s="111">
        <f t="shared" si="13"/>
        <v>1696698.2938</v>
      </c>
      <c r="K23" s="111">
        <f t="shared" si="13"/>
        <v>1815467.174366</v>
      </c>
      <c r="L23" s="111">
        <f t="shared" si="13"/>
        <v>1942549.87657162</v>
      </c>
      <c r="M23" s="111">
        <f t="shared" si="13"/>
        <v>2078528.3679316335</v>
      </c>
      <c r="N23" s="111">
        <f t="shared" si="13"/>
        <v>2224025.3536868477</v>
      </c>
      <c r="O23" s="111">
        <f t="shared" si="13"/>
        <v>2379707.1284449273</v>
      </c>
      <c r="P23" s="111">
        <f t="shared" si="13"/>
        <v>2546286.627436072</v>
      </c>
      <c r="Q23" s="111">
        <f t="shared" si="13"/>
        <v>2724526.691356597</v>
      </c>
      <c r="R23" s="214">
        <f t="shared" si="1"/>
        <v>23163117.8535937</v>
      </c>
      <c r="S23" s="198">
        <f t="shared" si="3"/>
        <v>21204882.545454547</v>
      </c>
      <c r="T23" s="62">
        <v>26530912</v>
      </c>
      <c r="U23" s="198">
        <v>20947217</v>
      </c>
      <c r="V23" s="62">
        <v>24224024</v>
      </c>
      <c r="W23" s="216">
        <v>26530912</v>
      </c>
      <c r="X23" s="86">
        <v>18795801</v>
      </c>
      <c r="Y23" s="62">
        <f t="shared" si="4"/>
        <v>-1204882.5454545468</v>
      </c>
    </row>
    <row r="24" spans="2:25" s="5" customFormat="1" ht="12" customHeight="1">
      <c r="B24" s="103">
        <v>32010.009</v>
      </c>
      <c r="C24" s="83" t="s">
        <v>34</v>
      </c>
      <c r="D24" s="218">
        <v>47000000</v>
      </c>
      <c r="E24" s="197">
        <v>44119246</v>
      </c>
      <c r="F24" s="217">
        <v>2307400</v>
      </c>
      <c r="G24" s="111">
        <f>4571810-F24</f>
        <v>2264410</v>
      </c>
      <c r="H24" s="111">
        <f>11138979-G24-F24</f>
        <v>6567169</v>
      </c>
      <c r="I24" s="111">
        <f aca="true" t="shared" si="14" ref="I24:Q24">H24*0.07+H24</f>
        <v>7026870.83</v>
      </c>
      <c r="J24" s="111">
        <f t="shared" si="14"/>
        <v>7518751.7881000005</v>
      </c>
      <c r="K24" s="111">
        <f t="shared" si="14"/>
        <v>8045064.413267001</v>
      </c>
      <c r="L24" s="111">
        <f t="shared" si="14"/>
        <v>8608218.922195692</v>
      </c>
      <c r="M24" s="111">
        <f t="shared" si="14"/>
        <v>9210794.24674939</v>
      </c>
      <c r="N24" s="111">
        <f t="shared" si="14"/>
        <v>9855549.844021847</v>
      </c>
      <c r="O24" s="111">
        <f t="shared" si="14"/>
        <v>10545438.333103377</v>
      </c>
      <c r="P24" s="111">
        <f t="shared" si="14"/>
        <v>11283619.016420614</v>
      </c>
      <c r="Q24" s="111">
        <f t="shared" si="14"/>
        <v>12073472.347570058</v>
      </c>
      <c r="R24" s="214">
        <f t="shared" si="1"/>
        <v>95306758.74142799</v>
      </c>
      <c r="S24" s="198">
        <f t="shared" si="3"/>
        <v>48130086.54545455</v>
      </c>
      <c r="T24" s="62">
        <v>34208995</v>
      </c>
      <c r="U24" s="198">
        <v>48752536</v>
      </c>
      <c r="V24" s="62">
        <v>50481566</v>
      </c>
      <c r="W24" s="216">
        <v>42994823.3</v>
      </c>
      <c r="X24" s="86">
        <v>33072941</v>
      </c>
      <c r="Y24" s="62">
        <f t="shared" si="4"/>
        <v>-1130086.5454545468</v>
      </c>
    </row>
    <row r="25" spans="2:25" s="5" customFormat="1" ht="12" customHeight="1">
      <c r="B25" s="103">
        <v>32010.002</v>
      </c>
      <c r="C25" s="83" t="s">
        <v>35</v>
      </c>
      <c r="D25" s="218">
        <v>2500000</v>
      </c>
      <c r="E25" s="197">
        <v>2045397</v>
      </c>
      <c r="F25" s="217">
        <v>70640</v>
      </c>
      <c r="G25" s="111">
        <f>306609-F25</f>
        <v>235969</v>
      </c>
      <c r="H25" s="111">
        <f>507459-G25-F25</f>
        <v>200850</v>
      </c>
      <c r="I25" s="111">
        <f aca="true" t="shared" si="15" ref="I25:Q25">H25*0.07+H25</f>
        <v>214909.5</v>
      </c>
      <c r="J25" s="111">
        <f t="shared" si="15"/>
        <v>229953.165</v>
      </c>
      <c r="K25" s="111">
        <f t="shared" si="15"/>
        <v>246049.88655</v>
      </c>
      <c r="L25" s="111">
        <f t="shared" si="15"/>
        <v>263273.3786085</v>
      </c>
      <c r="M25" s="111">
        <f t="shared" si="15"/>
        <v>281702.515111095</v>
      </c>
      <c r="N25" s="111">
        <f t="shared" si="15"/>
        <v>301421.69116887165</v>
      </c>
      <c r="O25" s="111">
        <f t="shared" si="15"/>
        <v>322521.20955069264</v>
      </c>
      <c r="P25" s="111">
        <f t="shared" si="15"/>
        <v>345097.69421924115</v>
      </c>
      <c r="Q25" s="111">
        <f t="shared" si="15"/>
        <v>369254.53281458805</v>
      </c>
      <c r="R25" s="214">
        <f t="shared" si="1"/>
        <v>3081642.573022988</v>
      </c>
      <c r="S25" s="198">
        <f t="shared" si="3"/>
        <v>2231342.1818181816</v>
      </c>
      <c r="T25" s="62">
        <v>2503919</v>
      </c>
      <c r="U25" s="198">
        <v>2203967</v>
      </c>
      <c r="V25" s="62">
        <v>2575312</v>
      </c>
      <c r="W25" s="216">
        <v>2503919</v>
      </c>
      <c r="X25" s="86">
        <v>2449667</v>
      </c>
      <c r="Y25" s="62">
        <f t="shared" si="4"/>
        <v>268657.81818181835</v>
      </c>
    </row>
    <row r="26" spans="2:25" s="5" customFormat="1" ht="12" customHeight="1">
      <c r="B26" s="103">
        <v>32010.01</v>
      </c>
      <c r="C26" s="83" t="s">
        <v>36</v>
      </c>
      <c r="D26" s="218">
        <v>800000</v>
      </c>
      <c r="E26" s="197">
        <v>542680</v>
      </c>
      <c r="F26" s="217"/>
      <c r="G26" s="111">
        <f>2600-F26</f>
        <v>2600</v>
      </c>
      <c r="H26" s="111">
        <f>21180-G26-F26</f>
        <v>18580</v>
      </c>
      <c r="I26" s="111">
        <f aca="true" t="shared" si="16" ref="I26:Q26">H26*0.07+H26</f>
        <v>19880.6</v>
      </c>
      <c r="J26" s="111">
        <f t="shared" si="16"/>
        <v>21272.242</v>
      </c>
      <c r="K26" s="111">
        <f t="shared" si="16"/>
        <v>22761.298939999997</v>
      </c>
      <c r="L26" s="111">
        <f t="shared" si="16"/>
        <v>24354.589865799997</v>
      </c>
      <c r="M26" s="111">
        <f t="shared" si="16"/>
        <v>26059.411156405997</v>
      </c>
      <c r="N26" s="111">
        <f t="shared" si="16"/>
        <v>27883.569937354416</v>
      </c>
      <c r="O26" s="111">
        <f t="shared" si="16"/>
        <v>29835.419832969226</v>
      </c>
      <c r="P26" s="111">
        <f t="shared" si="16"/>
        <v>31923.89922127707</v>
      </c>
      <c r="Q26" s="111">
        <f t="shared" si="16"/>
        <v>34158.57216676647</v>
      </c>
      <c r="R26" s="214">
        <f t="shared" si="1"/>
        <v>259309.60312057319</v>
      </c>
      <c r="S26" s="198">
        <f t="shared" si="3"/>
        <v>592014.5454545454</v>
      </c>
      <c r="T26" s="62">
        <v>1028000</v>
      </c>
      <c r="U26" s="198">
        <v>400680</v>
      </c>
      <c r="V26" s="62">
        <v>423260</v>
      </c>
      <c r="W26" s="216">
        <v>1028000</v>
      </c>
      <c r="X26" s="86">
        <v>784610</v>
      </c>
      <c r="Y26" s="62">
        <f t="shared" si="4"/>
        <v>207985.4545454546</v>
      </c>
    </row>
    <row r="27" spans="2:25" s="5" customFormat="1" ht="12" customHeight="1">
      <c r="B27" s="103">
        <v>32010.006</v>
      </c>
      <c r="C27" s="83" t="s">
        <v>37</v>
      </c>
      <c r="D27" s="218">
        <v>96603000</v>
      </c>
      <c r="E27" s="197">
        <v>89536986</v>
      </c>
      <c r="F27" s="217">
        <v>3612679</v>
      </c>
      <c r="G27" s="111">
        <f>9454305-F27</f>
        <v>5841626</v>
      </c>
      <c r="H27" s="111">
        <f>18598665-G27-F27</f>
        <v>9144360</v>
      </c>
      <c r="I27" s="111">
        <f aca="true" t="shared" si="17" ref="I27:Q27">H27*0.07+H27</f>
        <v>9784465.2</v>
      </c>
      <c r="J27" s="111">
        <f t="shared" si="17"/>
        <v>10469377.763999999</v>
      </c>
      <c r="K27" s="111">
        <f t="shared" si="17"/>
        <v>11202234.207479998</v>
      </c>
      <c r="L27" s="111">
        <f t="shared" si="17"/>
        <v>11986390.602003599</v>
      </c>
      <c r="M27" s="111">
        <f t="shared" si="17"/>
        <v>12825437.94414385</v>
      </c>
      <c r="N27" s="111">
        <f t="shared" si="17"/>
        <v>13723218.60023392</v>
      </c>
      <c r="O27" s="111">
        <f t="shared" si="17"/>
        <v>14683843.902250294</v>
      </c>
      <c r="P27" s="111">
        <f t="shared" si="17"/>
        <v>15711712.975407815</v>
      </c>
      <c r="Q27" s="111">
        <f t="shared" si="17"/>
        <v>16811532.883686364</v>
      </c>
      <c r="R27" s="214">
        <f t="shared" si="1"/>
        <v>135796879.07920584</v>
      </c>
      <c r="S27" s="198">
        <f t="shared" si="3"/>
        <v>97676712</v>
      </c>
      <c r="T27" s="62">
        <v>71685020</v>
      </c>
      <c r="U27" s="198">
        <v>94991379</v>
      </c>
      <c r="V27" s="62">
        <v>117000000</v>
      </c>
      <c r="W27" s="216">
        <v>93416641.5</v>
      </c>
      <c r="X27" s="86">
        <v>71858955</v>
      </c>
      <c r="Y27" s="62">
        <f t="shared" si="4"/>
        <v>-1073712</v>
      </c>
    </row>
    <row r="28" spans="2:25" s="5" customFormat="1" ht="12" customHeight="1" thickBot="1">
      <c r="B28" s="105">
        <v>32010.05</v>
      </c>
      <c r="C28" s="106" t="s">
        <v>38</v>
      </c>
      <c r="D28" s="215">
        <v>2700000</v>
      </c>
      <c r="E28" s="196">
        <v>2402664</v>
      </c>
      <c r="F28" s="110">
        <v>50000</v>
      </c>
      <c r="G28" s="111">
        <f>225000-F28</f>
        <v>175000</v>
      </c>
      <c r="H28" s="111">
        <f aca="true" t="shared" si="18" ref="H28:Q28">610250-G28-F28</f>
        <v>385250</v>
      </c>
      <c r="I28" s="111">
        <f t="shared" si="18"/>
        <v>50000</v>
      </c>
      <c r="J28" s="111">
        <f t="shared" si="18"/>
        <v>175000</v>
      </c>
      <c r="K28" s="111">
        <f t="shared" si="18"/>
        <v>385250</v>
      </c>
      <c r="L28" s="111">
        <f t="shared" si="18"/>
        <v>50000</v>
      </c>
      <c r="M28" s="111">
        <f t="shared" si="18"/>
        <v>175000</v>
      </c>
      <c r="N28" s="111">
        <f t="shared" si="18"/>
        <v>385250</v>
      </c>
      <c r="O28" s="111">
        <f t="shared" si="18"/>
        <v>50000</v>
      </c>
      <c r="P28" s="111">
        <f t="shared" si="18"/>
        <v>175000</v>
      </c>
      <c r="Q28" s="111">
        <f t="shared" si="18"/>
        <v>385250</v>
      </c>
      <c r="R28" s="214">
        <f t="shared" si="1"/>
        <v>2441000</v>
      </c>
      <c r="S28" s="198">
        <f t="shared" si="3"/>
        <v>2621088</v>
      </c>
      <c r="T28" s="62">
        <v>2712057</v>
      </c>
      <c r="U28" s="198">
        <v>2521875</v>
      </c>
      <c r="V28" s="62">
        <v>2557234</v>
      </c>
      <c r="W28" s="213">
        <v>2712057</v>
      </c>
      <c r="X28" s="121">
        <v>2354571</v>
      </c>
      <c r="Y28" s="62">
        <f t="shared" si="4"/>
        <v>78912</v>
      </c>
    </row>
    <row r="29" spans="2:26" s="5" customFormat="1" ht="12" customHeight="1" thickBot="1">
      <c r="B29" s="63"/>
      <c r="C29" s="55" t="s">
        <v>5</v>
      </c>
      <c r="D29" s="204">
        <f aca="true" t="shared" si="19" ref="D29:Y29">SUM(D13:D28)</f>
        <v>485953000</v>
      </c>
      <c r="E29" s="64">
        <f t="shared" si="19"/>
        <v>432761544</v>
      </c>
      <c r="F29" s="64">
        <f t="shared" si="19"/>
        <v>23340390</v>
      </c>
      <c r="G29" s="112">
        <f t="shared" si="19"/>
        <v>27453747</v>
      </c>
      <c r="H29" s="112">
        <f t="shared" si="19"/>
        <v>50174775</v>
      </c>
      <c r="I29" s="112">
        <f t="shared" si="19"/>
        <v>53324791.75</v>
      </c>
      <c r="J29" s="112">
        <f t="shared" si="19"/>
        <v>57179027.17250001</v>
      </c>
      <c r="K29" s="112">
        <f t="shared" si="19"/>
        <v>61379559.07457501</v>
      </c>
      <c r="L29" s="112">
        <f t="shared" si="19"/>
        <v>65313910.70979525</v>
      </c>
      <c r="M29" s="112">
        <f t="shared" si="19"/>
        <v>70007384.45948093</v>
      </c>
      <c r="N29" s="112">
        <f t="shared" si="19"/>
        <v>75105901.3716446</v>
      </c>
      <c r="O29" s="112">
        <f t="shared" si="19"/>
        <v>80001096.96765971</v>
      </c>
      <c r="P29" s="112">
        <f t="shared" si="19"/>
        <v>85722673.75539587</v>
      </c>
      <c r="Q29" s="112">
        <f t="shared" si="19"/>
        <v>91921260.91827361</v>
      </c>
      <c r="R29" s="56">
        <f t="shared" si="19"/>
        <v>740924518.1793251</v>
      </c>
      <c r="S29" s="56">
        <f>SUM(S13:S28)</f>
        <v>472103502.5454546</v>
      </c>
      <c r="T29" s="65">
        <f t="shared" si="19"/>
        <v>425020316</v>
      </c>
      <c r="U29" s="56">
        <f t="shared" si="19"/>
        <v>474929399</v>
      </c>
      <c r="V29" s="65">
        <f t="shared" si="19"/>
        <v>510908264</v>
      </c>
      <c r="W29" s="212">
        <f t="shared" si="19"/>
        <v>479505016.16</v>
      </c>
      <c r="X29" s="65">
        <f t="shared" si="19"/>
        <v>385364431</v>
      </c>
      <c r="Y29" s="65">
        <f t="shared" si="19"/>
        <v>13849497.45454545</v>
      </c>
      <c r="Z29" s="4"/>
    </row>
    <row r="30" spans="2:25" s="5" customFormat="1" ht="12" customHeight="1" thickBot="1">
      <c r="B30" s="281"/>
      <c r="C30" s="282"/>
      <c r="D30" s="282"/>
      <c r="E30" s="282"/>
      <c r="F30" s="282"/>
      <c r="G30" s="282"/>
      <c r="H30" s="282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57"/>
      <c r="T30" s="57"/>
      <c r="U30" s="57"/>
      <c r="V30" s="57"/>
      <c r="W30" s="57"/>
      <c r="X30" s="57"/>
      <c r="Y30" s="69"/>
    </row>
    <row r="31" spans="2:25" s="5" customFormat="1" ht="12" customHeight="1" thickBot="1">
      <c r="B31" s="90"/>
      <c r="C31" s="82" t="s">
        <v>39</v>
      </c>
      <c r="D31" s="85"/>
      <c r="E31" s="109"/>
      <c r="F31" s="109"/>
      <c r="G31" s="109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85"/>
      <c r="S31" s="84"/>
      <c r="T31" s="108"/>
      <c r="U31" s="108"/>
      <c r="V31" s="109"/>
      <c r="W31" s="109"/>
      <c r="X31" s="84"/>
      <c r="Y31" s="108"/>
    </row>
    <row r="32" spans="2:25" s="5" customFormat="1" ht="12" customHeight="1">
      <c r="B32" s="101">
        <v>32020.001</v>
      </c>
      <c r="C32" s="102" t="s">
        <v>24</v>
      </c>
      <c r="D32" s="119">
        <v>11100000</v>
      </c>
      <c r="E32" s="201">
        <v>10411728</v>
      </c>
      <c r="F32" s="201">
        <v>616621</v>
      </c>
      <c r="G32" s="201">
        <f>1489502-F32</f>
        <v>872881</v>
      </c>
      <c r="H32" s="111">
        <f aca="true" t="shared" si="20" ref="H32:Q32">G32*0.0833+G32</f>
        <v>945591.9873</v>
      </c>
      <c r="I32" s="111">
        <f t="shared" si="20"/>
        <v>1024359.79984209</v>
      </c>
      <c r="J32" s="111">
        <f t="shared" si="20"/>
        <v>1109688.971168936</v>
      </c>
      <c r="K32" s="111">
        <f t="shared" si="20"/>
        <v>1202126.0624673082</v>
      </c>
      <c r="L32" s="111">
        <f t="shared" si="20"/>
        <v>1302263.163470835</v>
      </c>
      <c r="M32" s="111">
        <f t="shared" si="20"/>
        <v>1410741.6849879555</v>
      </c>
      <c r="N32" s="111">
        <f t="shared" si="20"/>
        <v>1528256.4673474522</v>
      </c>
      <c r="O32" s="111">
        <f t="shared" si="20"/>
        <v>1655560.231077495</v>
      </c>
      <c r="P32" s="111">
        <f t="shared" si="20"/>
        <v>1793468.3983262503</v>
      </c>
      <c r="Q32" s="185">
        <f t="shared" si="20"/>
        <v>1942864.3159068269</v>
      </c>
      <c r="R32" s="200">
        <f aca="true" t="shared" si="21" ref="R32:R47">SUM(F32:Q32)</f>
        <v>15404423.081895148</v>
      </c>
      <c r="S32" s="198">
        <f>E32/11*12</f>
        <v>11358248.727272727</v>
      </c>
      <c r="T32" s="200">
        <v>10798628</v>
      </c>
      <c r="U32" s="198">
        <v>11427508</v>
      </c>
      <c r="V32" s="200">
        <v>11857961</v>
      </c>
      <c r="W32" s="201">
        <v>11655921.25</v>
      </c>
      <c r="X32" s="114">
        <v>9324737</v>
      </c>
      <c r="Y32" s="62">
        <f>D32-S32</f>
        <v>-258248.7272727266</v>
      </c>
    </row>
    <row r="33" spans="2:28" s="5" customFormat="1" ht="12" customHeight="1">
      <c r="B33" s="103">
        <v>32020.002</v>
      </c>
      <c r="C33" s="83" t="s">
        <v>25</v>
      </c>
      <c r="D33" s="120">
        <v>11500000</v>
      </c>
      <c r="E33" s="199">
        <v>10082250</v>
      </c>
      <c r="F33" s="199">
        <v>810000</v>
      </c>
      <c r="G33" s="199">
        <f>1571113-F33</f>
        <v>761113</v>
      </c>
      <c r="H33" s="111">
        <f aca="true" t="shared" si="22" ref="H33:Q33">G33*0.0833+G33</f>
        <v>824513.7129</v>
      </c>
      <c r="I33" s="111">
        <f t="shared" si="22"/>
        <v>893195.70518457</v>
      </c>
      <c r="J33" s="111">
        <f t="shared" si="22"/>
        <v>967598.9074264447</v>
      </c>
      <c r="K33" s="111">
        <f t="shared" si="22"/>
        <v>1048199.8964150676</v>
      </c>
      <c r="L33" s="111">
        <f t="shared" si="22"/>
        <v>1135514.9477864427</v>
      </c>
      <c r="M33" s="111">
        <f t="shared" si="22"/>
        <v>1230103.3429370534</v>
      </c>
      <c r="N33" s="111">
        <f t="shared" si="22"/>
        <v>1332570.95140371</v>
      </c>
      <c r="O33" s="111">
        <f t="shared" si="22"/>
        <v>1443574.111655639</v>
      </c>
      <c r="P33" s="111">
        <f t="shared" si="22"/>
        <v>1563823.8351565537</v>
      </c>
      <c r="Q33" s="185">
        <f t="shared" si="22"/>
        <v>1694090.3606250945</v>
      </c>
      <c r="R33" s="197">
        <f t="shared" si="21"/>
        <v>13704298.771490576</v>
      </c>
      <c r="S33" s="198">
        <f aca="true" t="shared" si="23" ref="S33:S47">E33/11*12</f>
        <v>10998818.181818182</v>
      </c>
      <c r="T33" s="197">
        <v>13941340</v>
      </c>
      <c r="U33" s="198">
        <v>11015133</v>
      </c>
      <c r="V33" s="197">
        <v>14000000</v>
      </c>
      <c r="W33" s="199">
        <v>12999285.6</v>
      </c>
      <c r="X33" s="87">
        <v>10832738</v>
      </c>
      <c r="Y33" s="62">
        <f aca="true" t="shared" si="24" ref="Y33:Y47">D33-S33</f>
        <v>501181.81818181835</v>
      </c>
      <c r="AB33" s="5" t="s">
        <v>83</v>
      </c>
    </row>
    <row r="34" spans="2:25" s="5" customFormat="1" ht="12" customHeight="1">
      <c r="B34" s="103">
        <v>32020.004</v>
      </c>
      <c r="C34" s="83" t="s">
        <v>26</v>
      </c>
      <c r="D34" s="120">
        <v>3500000</v>
      </c>
      <c r="E34" s="199">
        <v>2395722</v>
      </c>
      <c r="F34" s="199">
        <v>89832</v>
      </c>
      <c r="G34" s="199">
        <f>171997-F34</f>
        <v>82165</v>
      </c>
      <c r="H34" s="111">
        <f aca="true" t="shared" si="25" ref="H34:Q34">G34*0.0833+G34</f>
        <v>89009.3445</v>
      </c>
      <c r="I34" s="111">
        <f t="shared" si="25"/>
        <v>96423.82289685</v>
      </c>
      <c r="J34" s="111">
        <f t="shared" si="25"/>
        <v>104455.92734415761</v>
      </c>
      <c r="K34" s="111">
        <f t="shared" si="25"/>
        <v>113157.10609192593</v>
      </c>
      <c r="L34" s="111">
        <f t="shared" si="25"/>
        <v>122583.09302938337</v>
      </c>
      <c r="M34" s="111">
        <f t="shared" si="25"/>
        <v>132794.264678731</v>
      </c>
      <c r="N34" s="111">
        <f t="shared" si="25"/>
        <v>143856.0269264693</v>
      </c>
      <c r="O34" s="111">
        <f t="shared" si="25"/>
        <v>155839.23396944418</v>
      </c>
      <c r="P34" s="111">
        <f t="shared" si="25"/>
        <v>168820.64215909888</v>
      </c>
      <c r="Q34" s="185">
        <f t="shared" si="25"/>
        <v>182883.40165095183</v>
      </c>
      <c r="R34" s="197">
        <f t="shared" si="21"/>
        <v>1481819.8632470118</v>
      </c>
      <c r="S34" s="198">
        <f t="shared" si="23"/>
        <v>2613514.909090909</v>
      </c>
      <c r="T34" s="197">
        <v>2537531</v>
      </c>
      <c r="U34" s="198">
        <v>2857990</v>
      </c>
      <c r="V34" s="197">
        <v>2836348</v>
      </c>
      <c r="W34" s="199">
        <v>2537531</v>
      </c>
      <c r="X34" s="87">
        <v>2346362</v>
      </c>
      <c r="Y34" s="62">
        <f t="shared" si="24"/>
        <v>886485.0909090908</v>
      </c>
    </row>
    <row r="35" spans="2:25" s="5" customFormat="1" ht="12" customHeight="1">
      <c r="B35" s="103">
        <v>32020.015</v>
      </c>
      <c r="C35" s="83" t="s">
        <v>40</v>
      </c>
      <c r="D35" s="120">
        <v>7000000</v>
      </c>
      <c r="E35" s="199">
        <v>6648339</v>
      </c>
      <c r="F35" s="199">
        <v>304077</v>
      </c>
      <c r="G35" s="199">
        <f>768865-F35</f>
        <v>464788</v>
      </c>
      <c r="H35" s="111">
        <f aca="true" t="shared" si="26" ref="H35:Q35">G35*0.0833+G35</f>
        <v>503504.8404</v>
      </c>
      <c r="I35" s="111">
        <f t="shared" si="26"/>
        <v>545446.79360532</v>
      </c>
      <c r="J35" s="111">
        <f t="shared" si="26"/>
        <v>590882.5115126432</v>
      </c>
      <c r="K35" s="111">
        <f t="shared" si="26"/>
        <v>640103.0247216463</v>
      </c>
      <c r="L35" s="111">
        <f t="shared" si="26"/>
        <v>693423.6066809595</v>
      </c>
      <c r="M35" s="111">
        <f t="shared" si="26"/>
        <v>751185.7931174834</v>
      </c>
      <c r="N35" s="111">
        <f t="shared" si="26"/>
        <v>813759.5696841697</v>
      </c>
      <c r="O35" s="111">
        <f t="shared" si="26"/>
        <v>881545.741838861</v>
      </c>
      <c r="P35" s="111">
        <f t="shared" si="26"/>
        <v>954978.5021340381</v>
      </c>
      <c r="Q35" s="185">
        <f t="shared" si="26"/>
        <v>1034528.2113618035</v>
      </c>
      <c r="R35" s="197">
        <f t="shared" si="21"/>
        <v>8178223.595056925</v>
      </c>
      <c r="S35" s="198">
        <f t="shared" si="23"/>
        <v>7252733.454545455</v>
      </c>
      <c r="T35" s="197">
        <v>7957594</v>
      </c>
      <c r="U35" s="198">
        <v>7052558</v>
      </c>
      <c r="V35" s="197">
        <v>9313855</v>
      </c>
      <c r="W35" s="199">
        <v>8917503.75</v>
      </c>
      <c r="X35" s="87">
        <v>7134003</v>
      </c>
      <c r="Y35" s="62">
        <f t="shared" si="24"/>
        <v>-252733.45454545505</v>
      </c>
    </row>
    <row r="36" spans="2:25" s="6" customFormat="1" ht="12" customHeight="1">
      <c r="B36" s="103">
        <v>32020.011</v>
      </c>
      <c r="C36" s="83" t="s">
        <v>41</v>
      </c>
      <c r="D36" s="120">
        <v>3500000</v>
      </c>
      <c r="E36" s="199">
        <v>2666237</v>
      </c>
      <c r="F36" s="199">
        <v>215143</v>
      </c>
      <c r="G36" s="199">
        <f>385586-F36</f>
        <v>170443</v>
      </c>
      <c r="H36" s="111">
        <f aca="true" t="shared" si="27" ref="H36:Q36">G36*0.0833+G36</f>
        <v>184640.9019</v>
      </c>
      <c r="I36" s="111">
        <f t="shared" si="27"/>
        <v>200021.48902827</v>
      </c>
      <c r="J36" s="111">
        <f t="shared" si="27"/>
        <v>216683.2790643249</v>
      </c>
      <c r="K36" s="111">
        <f t="shared" si="27"/>
        <v>234732.99621038313</v>
      </c>
      <c r="L36" s="111">
        <f t="shared" si="27"/>
        <v>254286.25479470805</v>
      </c>
      <c r="M36" s="111">
        <f t="shared" si="27"/>
        <v>275468.2998191072</v>
      </c>
      <c r="N36" s="111">
        <f t="shared" si="27"/>
        <v>298414.80919403885</v>
      </c>
      <c r="O36" s="111">
        <f t="shared" si="27"/>
        <v>323272.7627999023</v>
      </c>
      <c r="P36" s="111">
        <f t="shared" si="27"/>
        <v>350201.38394113415</v>
      </c>
      <c r="Q36" s="185">
        <f t="shared" si="27"/>
        <v>379373.1592234306</v>
      </c>
      <c r="R36" s="197">
        <f t="shared" si="21"/>
        <v>3102681.335975299</v>
      </c>
      <c r="S36" s="198">
        <f t="shared" si="23"/>
        <v>2908622.1818181816</v>
      </c>
      <c r="T36" s="197">
        <v>1896663</v>
      </c>
      <c r="U36" s="198">
        <v>2639662</v>
      </c>
      <c r="V36" s="197">
        <v>2803056</v>
      </c>
      <c r="W36" s="199">
        <v>2208353.04</v>
      </c>
      <c r="X36" s="87">
        <v>2165052</v>
      </c>
      <c r="Y36" s="62">
        <f t="shared" si="24"/>
        <v>591377.8181818184</v>
      </c>
    </row>
    <row r="37" spans="2:25" s="5" customFormat="1" ht="12" customHeight="1">
      <c r="B37" s="103">
        <v>32020.008</v>
      </c>
      <c r="C37" s="83" t="s">
        <v>42</v>
      </c>
      <c r="D37" s="120">
        <v>1000000</v>
      </c>
      <c r="E37" s="199">
        <v>556745</v>
      </c>
      <c r="F37" s="199">
        <v>5130</v>
      </c>
      <c r="G37" s="199">
        <f>20520-F37</f>
        <v>15390</v>
      </c>
      <c r="H37" s="111">
        <f aca="true" t="shared" si="28" ref="H37:Q37">G37*0.0833+G37</f>
        <v>16671.987</v>
      </c>
      <c r="I37" s="111">
        <f t="shared" si="28"/>
        <v>18060.7635171</v>
      </c>
      <c r="J37" s="111">
        <f t="shared" si="28"/>
        <v>19565.22511807443</v>
      </c>
      <c r="K37" s="111">
        <f t="shared" si="28"/>
        <v>21195.008370410033</v>
      </c>
      <c r="L37" s="111">
        <f t="shared" si="28"/>
        <v>22960.55256766519</v>
      </c>
      <c r="M37" s="111">
        <f t="shared" si="28"/>
        <v>24873.1665965517</v>
      </c>
      <c r="N37" s="111">
        <f t="shared" si="28"/>
        <v>26945.101374044454</v>
      </c>
      <c r="O37" s="111">
        <f t="shared" si="28"/>
        <v>29189.628318502357</v>
      </c>
      <c r="P37" s="111">
        <f t="shared" si="28"/>
        <v>31621.124357433604</v>
      </c>
      <c r="Q37" s="185">
        <f t="shared" si="28"/>
        <v>34255.16401640782</v>
      </c>
      <c r="R37" s="197">
        <f t="shared" si="21"/>
        <v>265857.7212361896</v>
      </c>
      <c r="S37" s="198">
        <f t="shared" si="23"/>
        <v>607358.1818181818</v>
      </c>
      <c r="T37" s="197">
        <v>753841</v>
      </c>
      <c r="U37" s="198">
        <v>547441</v>
      </c>
      <c r="V37" s="197">
        <v>537998</v>
      </c>
      <c r="W37" s="199">
        <v>753841</v>
      </c>
      <c r="X37" s="87">
        <v>628279</v>
      </c>
      <c r="Y37" s="62">
        <f t="shared" si="24"/>
        <v>392641.81818181823</v>
      </c>
    </row>
    <row r="38" spans="2:26" s="5" customFormat="1" ht="12" customHeight="1">
      <c r="B38" s="103">
        <v>32020.003</v>
      </c>
      <c r="C38" s="83" t="s">
        <v>30</v>
      </c>
      <c r="D38" s="120">
        <v>2950000</v>
      </c>
      <c r="E38" s="199">
        <v>2223593</v>
      </c>
      <c r="F38" s="199">
        <v>95635</v>
      </c>
      <c r="G38" s="199">
        <f>571120-F38</f>
        <v>475485</v>
      </c>
      <c r="H38" s="111">
        <f aca="true" t="shared" si="29" ref="H38:Q38">G38*0.0833+G38</f>
        <v>515092.9005</v>
      </c>
      <c r="I38" s="111">
        <f t="shared" si="29"/>
        <v>558000.13911165</v>
      </c>
      <c r="J38" s="111">
        <f t="shared" si="29"/>
        <v>604481.5506996504</v>
      </c>
      <c r="K38" s="111">
        <f t="shared" si="29"/>
        <v>654834.8638729313</v>
      </c>
      <c r="L38" s="111">
        <f t="shared" si="29"/>
        <v>709382.6080335465</v>
      </c>
      <c r="M38" s="111">
        <f t="shared" si="29"/>
        <v>768474.1792827409</v>
      </c>
      <c r="N38" s="111">
        <f t="shared" si="29"/>
        <v>832488.0784169933</v>
      </c>
      <c r="O38" s="111">
        <f t="shared" si="29"/>
        <v>901834.3353491288</v>
      </c>
      <c r="P38" s="111">
        <f t="shared" si="29"/>
        <v>976957.1354837113</v>
      </c>
      <c r="Q38" s="185">
        <f t="shared" si="29"/>
        <v>1058337.6648695045</v>
      </c>
      <c r="R38" s="197">
        <f t="shared" si="21"/>
        <v>8151003.455619857</v>
      </c>
      <c r="S38" s="198">
        <f t="shared" si="23"/>
        <v>2425737.8181818184</v>
      </c>
      <c r="T38" s="197">
        <v>2672329</v>
      </c>
      <c r="U38" s="198">
        <v>2722672</v>
      </c>
      <c r="V38" s="197">
        <v>3052252</v>
      </c>
      <c r="W38" s="199">
        <v>2672329</v>
      </c>
      <c r="X38" s="87">
        <v>2320090</v>
      </c>
      <c r="Y38" s="62">
        <f t="shared" si="24"/>
        <v>524262.18181818165</v>
      </c>
      <c r="Z38" s="4"/>
    </row>
    <row r="39" spans="2:25" s="5" customFormat="1" ht="12" customHeight="1">
      <c r="B39" s="103">
        <v>32020.012</v>
      </c>
      <c r="C39" s="83" t="s">
        <v>31</v>
      </c>
      <c r="D39" s="120">
        <v>2000000</v>
      </c>
      <c r="E39" s="199">
        <v>1680000</v>
      </c>
      <c r="F39" s="199"/>
      <c r="G39" s="199">
        <f>210000-F39</f>
        <v>210000</v>
      </c>
      <c r="H39" s="111">
        <f aca="true" t="shared" si="30" ref="H39:Q39">G39*0.0833+G39</f>
        <v>227493</v>
      </c>
      <c r="I39" s="111">
        <f t="shared" si="30"/>
        <v>246443.1669</v>
      </c>
      <c r="J39" s="111">
        <f t="shared" si="30"/>
        <v>266971.88270277</v>
      </c>
      <c r="K39" s="111">
        <f t="shared" si="30"/>
        <v>289210.64053191076</v>
      </c>
      <c r="L39" s="111">
        <f t="shared" si="30"/>
        <v>313301.8868882189</v>
      </c>
      <c r="M39" s="111">
        <f t="shared" si="30"/>
        <v>339399.93406600755</v>
      </c>
      <c r="N39" s="111">
        <f t="shared" si="30"/>
        <v>367671.948573706</v>
      </c>
      <c r="O39" s="111">
        <f t="shared" si="30"/>
        <v>398299.02188989567</v>
      </c>
      <c r="P39" s="111">
        <f t="shared" si="30"/>
        <v>431477.33041332394</v>
      </c>
      <c r="Q39" s="185">
        <f t="shared" si="30"/>
        <v>467419.3920367538</v>
      </c>
      <c r="R39" s="197">
        <f t="shared" si="21"/>
        <v>3557688.2040025867</v>
      </c>
      <c r="S39" s="198">
        <f t="shared" si="23"/>
        <v>1832727.272727273</v>
      </c>
      <c r="T39" s="197">
        <v>2776145</v>
      </c>
      <c r="U39" s="198">
        <v>2380000</v>
      </c>
      <c r="V39" s="197">
        <v>2845606</v>
      </c>
      <c r="W39" s="199">
        <v>2776145</v>
      </c>
      <c r="X39" s="87">
        <v>1807803</v>
      </c>
      <c r="Y39" s="62">
        <f t="shared" si="24"/>
        <v>167272.72727272706</v>
      </c>
    </row>
    <row r="40" spans="2:25" s="5" customFormat="1" ht="12" customHeight="1">
      <c r="B40" s="103">
        <v>32020.005</v>
      </c>
      <c r="C40" s="83" t="s">
        <v>62</v>
      </c>
      <c r="D40" s="120">
        <v>9800000</v>
      </c>
      <c r="E40" s="199">
        <v>9556698</v>
      </c>
      <c r="F40" s="199">
        <v>772045</v>
      </c>
      <c r="G40" s="199">
        <f>1301389-F40</f>
        <v>529344</v>
      </c>
      <c r="H40" s="111">
        <f aca="true" t="shared" si="31" ref="H40:Q40">G40*0.0833+G40</f>
        <v>573438.3552</v>
      </c>
      <c r="I40" s="111">
        <f t="shared" si="31"/>
        <v>621205.77018816</v>
      </c>
      <c r="J40" s="111">
        <f t="shared" si="31"/>
        <v>672952.2108448338</v>
      </c>
      <c r="K40" s="111">
        <f t="shared" si="31"/>
        <v>729009.1300082084</v>
      </c>
      <c r="L40" s="111">
        <f t="shared" si="31"/>
        <v>789735.5905378922</v>
      </c>
      <c r="M40" s="111">
        <f t="shared" si="31"/>
        <v>855520.5652296985</v>
      </c>
      <c r="N40" s="111">
        <f t="shared" si="31"/>
        <v>926785.4283133324</v>
      </c>
      <c r="O40" s="111">
        <f t="shared" si="31"/>
        <v>1003986.654491833</v>
      </c>
      <c r="P40" s="111">
        <f t="shared" si="31"/>
        <v>1087618.7428110025</v>
      </c>
      <c r="Q40" s="185">
        <f t="shared" si="31"/>
        <v>1178217.384087159</v>
      </c>
      <c r="R40" s="197">
        <f t="shared" si="21"/>
        <v>9739858.83171212</v>
      </c>
      <c r="S40" s="198">
        <f t="shared" si="23"/>
        <v>10425488.727272727</v>
      </c>
      <c r="T40" s="197">
        <v>12160673</v>
      </c>
      <c r="U40" s="198">
        <v>12407893</v>
      </c>
      <c r="V40" s="197">
        <v>11173312</v>
      </c>
      <c r="W40" s="199">
        <v>10764089.7</v>
      </c>
      <c r="X40" s="87">
        <v>8280069</v>
      </c>
      <c r="Y40" s="62">
        <f t="shared" si="24"/>
        <v>-625488.7272727266</v>
      </c>
    </row>
    <row r="41" spans="2:25" s="5" customFormat="1" ht="12" customHeight="1">
      <c r="B41" s="103">
        <v>32020.007</v>
      </c>
      <c r="C41" s="83" t="s">
        <v>32</v>
      </c>
      <c r="D41" s="120">
        <v>3500000</v>
      </c>
      <c r="E41" s="199">
        <v>3155772</v>
      </c>
      <c r="F41" s="199">
        <v>199441</v>
      </c>
      <c r="G41" s="199">
        <f>428701-F41</f>
        <v>229260</v>
      </c>
      <c r="H41" s="111">
        <f aca="true" t="shared" si="32" ref="H41:Q41">G41*0.0833+G41</f>
        <v>248357.358</v>
      </c>
      <c r="I41" s="111">
        <f t="shared" si="32"/>
        <v>269045.5259214</v>
      </c>
      <c r="J41" s="111">
        <f t="shared" si="32"/>
        <v>291457.0182306526</v>
      </c>
      <c r="K41" s="111">
        <f t="shared" si="32"/>
        <v>315735.387849266</v>
      </c>
      <c r="L41" s="111">
        <f t="shared" si="32"/>
        <v>342036.14565710985</v>
      </c>
      <c r="M41" s="111">
        <f t="shared" si="32"/>
        <v>370527.7565903471</v>
      </c>
      <c r="N41" s="111">
        <f t="shared" si="32"/>
        <v>401392.718714323</v>
      </c>
      <c r="O41" s="111">
        <f t="shared" si="32"/>
        <v>434828.7321832261</v>
      </c>
      <c r="P41" s="111">
        <f t="shared" si="32"/>
        <v>471049.96557408886</v>
      </c>
      <c r="Q41" s="185">
        <f t="shared" si="32"/>
        <v>510288.42770641047</v>
      </c>
      <c r="R41" s="197">
        <f t="shared" si="21"/>
        <v>4083420.036426824</v>
      </c>
      <c r="S41" s="198">
        <f t="shared" si="23"/>
        <v>3442660.3636363638</v>
      </c>
      <c r="T41" s="197">
        <v>4156788</v>
      </c>
      <c r="U41" s="198">
        <v>3650450</v>
      </c>
      <c r="V41" s="197">
        <v>3925929</v>
      </c>
      <c r="W41" s="199">
        <v>4156788</v>
      </c>
      <c r="X41" s="87">
        <v>3103941</v>
      </c>
      <c r="Y41" s="62">
        <f t="shared" si="24"/>
        <v>57339.63636363624</v>
      </c>
    </row>
    <row r="42" spans="2:25" s="5" customFormat="1" ht="12" customHeight="1">
      <c r="B42" s="103">
        <v>32020.051</v>
      </c>
      <c r="C42" s="83" t="s">
        <v>33</v>
      </c>
      <c r="D42" s="120">
        <v>7500000</v>
      </c>
      <c r="E42" s="199">
        <v>7153286</v>
      </c>
      <c r="F42" s="199">
        <v>269511</v>
      </c>
      <c r="G42" s="199">
        <f>956722-F42</f>
        <v>687211</v>
      </c>
      <c r="H42" s="111">
        <f aca="true" t="shared" si="33" ref="H42:Q42">G42*0.0833+G42</f>
        <v>744455.6763</v>
      </c>
      <c r="I42" s="111">
        <f t="shared" si="33"/>
        <v>806468.83413579</v>
      </c>
      <c r="J42" s="111">
        <f t="shared" si="33"/>
        <v>873647.6880193013</v>
      </c>
      <c r="K42" s="111">
        <f t="shared" si="33"/>
        <v>946422.540431309</v>
      </c>
      <c r="L42" s="111">
        <f t="shared" si="33"/>
        <v>1025259.5380492371</v>
      </c>
      <c r="M42" s="111">
        <f t="shared" si="33"/>
        <v>1110663.6575687386</v>
      </c>
      <c r="N42" s="111">
        <f t="shared" si="33"/>
        <v>1203181.9402442144</v>
      </c>
      <c r="O42" s="111">
        <f t="shared" si="33"/>
        <v>1303406.9958665574</v>
      </c>
      <c r="P42" s="111">
        <f t="shared" si="33"/>
        <v>1411980.7986222415</v>
      </c>
      <c r="Q42" s="185">
        <f t="shared" si="33"/>
        <v>1529598.799147474</v>
      </c>
      <c r="R42" s="197">
        <f t="shared" si="21"/>
        <v>11911808.468384862</v>
      </c>
      <c r="S42" s="198">
        <f t="shared" si="23"/>
        <v>7803584.7272727275</v>
      </c>
      <c r="T42" s="197">
        <v>9382560</v>
      </c>
      <c r="U42" s="198">
        <v>8048070</v>
      </c>
      <c r="V42" s="197">
        <v>8831574</v>
      </c>
      <c r="W42" s="199">
        <v>9382560</v>
      </c>
      <c r="X42" s="87">
        <v>6454340</v>
      </c>
      <c r="Y42" s="62">
        <f t="shared" si="24"/>
        <v>-303584.7272727275</v>
      </c>
    </row>
    <row r="43" spans="2:25" s="5" customFormat="1" ht="12" customHeight="1">
      <c r="B43" s="103">
        <v>32020.009</v>
      </c>
      <c r="C43" s="83" t="s">
        <v>34</v>
      </c>
      <c r="D43" s="120">
        <v>5400000</v>
      </c>
      <c r="E43" s="199">
        <v>5011799</v>
      </c>
      <c r="F43" s="199">
        <v>105000</v>
      </c>
      <c r="G43" s="199">
        <f>261553-F43</f>
        <v>156553</v>
      </c>
      <c r="H43" s="111">
        <f aca="true" t="shared" si="34" ref="H43:Q43">G43*0.0833+G43</f>
        <v>169593.8649</v>
      </c>
      <c r="I43" s="111">
        <f t="shared" si="34"/>
        <v>183721.03384616997</v>
      </c>
      <c r="J43" s="111">
        <f t="shared" si="34"/>
        <v>199024.99596555592</v>
      </c>
      <c r="K43" s="111">
        <f t="shared" si="34"/>
        <v>215603.77812948672</v>
      </c>
      <c r="L43" s="111">
        <f t="shared" si="34"/>
        <v>233563.57284767297</v>
      </c>
      <c r="M43" s="111">
        <f t="shared" si="34"/>
        <v>253019.41846588414</v>
      </c>
      <c r="N43" s="111">
        <f t="shared" si="34"/>
        <v>274095.9360240923</v>
      </c>
      <c r="O43" s="111">
        <f t="shared" si="34"/>
        <v>296928.1274948992</v>
      </c>
      <c r="P43" s="111">
        <f t="shared" si="34"/>
        <v>321662.2405152243</v>
      </c>
      <c r="Q43" s="185">
        <f t="shared" si="34"/>
        <v>348456.7051501425</v>
      </c>
      <c r="R43" s="197">
        <f t="shared" si="21"/>
        <v>2757222.6733391276</v>
      </c>
      <c r="S43" s="198">
        <f t="shared" si="23"/>
        <v>5467417.090909091</v>
      </c>
      <c r="T43" s="197">
        <v>5296447</v>
      </c>
      <c r="U43" s="198">
        <v>5949555</v>
      </c>
      <c r="V43" s="197">
        <v>6347538</v>
      </c>
      <c r="W43" s="199">
        <v>5296447</v>
      </c>
      <c r="X43" s="87">
        <v>4884238</v>
      </c>
      <c r="Y43" s="62">
        <f t="shared" si="24"/>
        <v>-67417.09090909082</v>
      </c>
    </row>
    <row r="44" spans="2:25" s="5" customFormat="1" ht="12" customHeight="1">
      <c r="B44" s="103">
        <v>32020.017</v>
      </c>
      <c r="C44" s="83" t="s">
        <v>35</v>
      </c>
      <c r="D44" s="120">
        <v>300000</v>
      </c>
      <c r="E44" s="199">
        <v>278240</v>
      </c>
      <c r="F44" s="199"/>
      <c r="G44" s="199">
        <f>108000-F44</f>
        <v>108000</v>
      </c>
      <c r="H44" s="111">
        <f aca="true" t="shared" si="35" ref="H44:Q44">G44*0.0833+G44</f>
        <v>116996.4</v>
      </c>
      <c r="I44" s="111">
        <f t="shared" si="35"/>
        <v>126742.20012</v>
      </c>
      <c r="J44" s="111">
        <f t="shared" si="35"/>
        <v>137299.825389996</v>
      </c>
      <c r="K44" s="111">
        <f t="shared" si="35"/>
        <v>148736.90084498265</v>
      </c>
      <c r="L44" s="111">
        <f t="shared" si="35"/>
        <v>161126.68468536972</v>
      </c>
      <c r="M44" s="111">
        <f t="shared" si="35"/>
        <v>174548.537519661</v>
      </c>
      <c r="N44" s="111">
        <f t="shared" si="35"/>
        <v>189088.43069504877</v>
      </c>
      <c r="O44" s="111">
        <f t="shared" si="35"/>
        <v>204839.49697194633</v>
      </c>
      <c r="P44" s="111">
        <f t="shared" si="35"/>
        <v>221902.62706970944</v>
      </c>
      <c r="Q44" s="185">
        <f t="shared" si="35"/>
        <v>240387.11590461625</v>
      </c>
      <c r="R44" s="197">
        <f t="shared" si="21"/>
        <v>1829668.21920133</v>
      </c>
      <c r="S44" s="198">
        <f t="shared" si="23"/>
        <v>303534.54545454547</v>
      </c>
      <c r="T44" s="197">
        <v>602118</v>
      </c>
      <c r="U44" s="198">
        <v>300240</v>
      </c>
      <c r="V44" s="197">
        <v>519520</v>
      </c>
      <c r="W44" s="199">
        <v>602118</v>
      </c>
      <c r="X44" s="87">
        <v>390504</v>
      </c>
      <c r="Y44" s="62">
        <f t="shared" si="24"/>
        <v>-3534.5454545454704</v>
      </c>
    </row>
    <row r="45" spans="2:25" s="5" customFormat="1" ht="12" customHeight="1">
      <c r="B45" s="103">
        <v>32020.018</v>
      </c>
      <c r="C45" s="83" t="s">
        <v>36</v>
      </c>
      <c r="D45" s="120">
        <v>300000</v>
      </c>
      <c r="E45" s="199">
        <v>160000</v>
      </c>
      <c r="F45" s="199"/>
      <c r="G45" s="199">
        <f>160000-F45</f>
        <v>160000</v>
      </c>
      <c r="H45" s="111">
        <f aca="true" t="shared" si="36" ref="H45:Q45">G45*0.0833+G45</f>
        <v>173328</v>
      </c>
      <c r="I45" s="111">
        <f t="shared" si="36"/>
        <v>187766.2224</v>
      </c>
      <c r="J45" s="111">
        <f t="shared" si="36"/>
        <v>203407.14872592</v>
      </c>
      <c r="K45" s="111">
        <f t="shared" si="36"/>
        <v>220350.96421478916</v>
      </c>
      <c r="L45" s="111">
        <f t="shared" si="36"/>
        <v>238706.1995338811</v>
      </c>
      <c r="M45" s="111">
        <f t="shared" si="36"/>
        <v>258590.4259550534</v>
      </c>
      <c r="N45" s="111">
        <f t="shared" si="36"/>
        <v>280131.00843710935</v>
      </c>
      <c r="O45" s="111">
        <f t="shared" si="36"/>
        <v>303465.92143992055</v>
      </c>
      <c r="P45" s="111">
        <f t="shared" si="36"/>
        <v>328744.63269586593</v>
      </c>
      <c r="Q45" s="185">
        <f t="shared" si="36"/>
        <v>356129.06059943157</v>
      </c>
      <c r="R45" s="197">
        <f t="shared" si="21"/>
        <v>2710619.584001971</v>
      </c>
      <c r="S45" s="198">
        <f t="shared" si="23"/>
        <v>174545.45454545456</v>
      </c>
      <c r="T45" s="197">
        <v>320000</v>
      </c>
      <c r="U45" s="198">
        <v>180000</v>
      </c>
      <c r="V45" s="197">
        <v>180000</v>
      </c>
      <c r="W45" s="199">
        <v>320000</v>
      </c>
      <c r="X45" s="87">
        <v>160000</v>
      </c>
      <c r="Y45" s="62">
        <f t="shared" si="24"/>
        <v>125454.54545454544</v>
      </c>
    </row>
    <row r="46" spans="2:25" s="5" customFormat="1" ht="12" customHeight="1">
      <c r="B46" s="103">
        <v>32020.006</v>
      </c>
      <c r="C46" s="83" t="s">
        <v>37</v>
      </c>
      <c r="D46" s="120">
        <v>16700000</v>
      </c>
      <c r="E46" s="199">
        <v>15748729</v>
      </c>
      <c r="F46" s="199">
        <v>782774</v>
      </c>
      <c r="G46" s="199">
        <f>1353574-F46</f>
        <v>570800</v>
      </c>
      <c r="H46" s="111">
        <f aca="true" t="shared" si="37" ref="H46:Q46">G46*0.0833+G46</f>
        <v>618347.64</v>
      </c>
      <c r="I46" s="111">
        <f t="shared" si="37"/>
        <v>669855.998412</v>
      </c>
      <c r="J46" s="111">
        <f t="shared" si="37"/>
        <v>725655.0030797196</v>
      </c>
      <c r="K46" s="111">
        <f t="shared" si="37"/>
        <v>786102.0648362603</v>
      </c>
      <c r="L46" s="111">
        <f t="shared" si="37"/>
        <v>851584.3668371207</v>
      </c>
      <c r="M46" s="111">
        <f t="shared" si="37"/>
        <v>922521.3445946529</v>
      </c>
      <c r="N46" s="111">
        <f t="shared" si="37"/>
        <v>999367.3725993874</v>
      </c>
      <c r="O46" s="111">
        <f t="shared" si="37"/>
        <v>1082614.6747369163</v>
      </c>
      <c r="P46" s="111">
        <f t="shared" si="37"/>
        <v>1172796.4771425014</v>
      </c>
      <c r="Q46" s="185">
        <f t="shared" si="37"/>
        <v>1270490.4236884718</v>
      </c>
      <c r="R46" s="197">
        <f t="shared" si="21"/>
        <v>10452909.36592703</v>
      </c>
      <c r="S46" s="198">
        <f t="shared" si="23"/>
        <v>17180431.636363637</v>
      </c>
      <c r="T46" s="197">
        <v>13811280</v>
      </c>
      <c r="U46" s="198">
        <v>17419697</v>
      </c>
      <c r="V46" s="197">
        <v>16942782</v>
      </c>
      <c r="W46" s="199">
        <v>15366558.75</v>
      </c>
      <c r="X46" s="87">
        <v>13362225</v>
      </c>
      <c r="Y46" s="62">
        <f t="shared" si="24"/>
        <v>-480431.6363636367</v>
      </c>
    </row>
    <row r="47" spans="2:25" s="5" customFormat="1" ht="12" customHeight="1" thickBot="1">
      <c r="B47" s="105">
        <v>32020.05</v>
      </c>
      <c r="C47" s="104" t="s">
        <v>38</v>
      </c>
      <c r="D47" s="210">
        <v>700000</v>
      </c>
      <c r="E47" s="209">
        <v>543278</v>
      </c>
      <c r="F47" s="209"/>
      <c r="G47" s="209">
        <f>25000-F47</f>
        <v>25000</v>
      </c>
      <c r="H47" s="111">
        <f aca="true" t="shared" si="38" ref="H47:Q47">G47*0.0833+G47</f>
        <v>27082.5</v>
      </c>
      <c r="I47" s="111">
        <f t="shared" si="38"/>
        <v>29338.47225</v>
      </c>
      <c r="J47" s="111">
        <f t="shared" si="38"/>
        <v>31782.366988424998</v>
      </c>
      <c r="K47" s="111">
        <f t="shared" si="38"/>
        <v>34429.8381585608</v>
      </c>
      <c r="L47" s="111">
        <f t="shared" si="38"/>
        <v>37297.843677168916</v>
      </c>
      <c r="M47" s="111">
        <f t="shared" si="38"/>
        <v>40404.75405547709</v>
      </c>
      <c r="N47" s="111">
        <f t="shared" si="38"/>
        <v>43770.47006829833</v>
      </c>
      <c r="O47" s="111">
        <f t="shared" si="38"/>
        <v>47416.55022498758</v>
      </c>
      <c r="P47" s="111">
        <f t="shared" si="38"/>
        <v>51366.34885872904</v>
      </c>
      <c r="Q47" s="185">
        <f t="shared" si="38"/>
        <v>55645.16571866117</v>
      </c>
      <c r="R47" s="196">
        <f t="shared" si="21"/>
        <v>423534.3100003079</v>
      </c>
      <c r="S47" s="198">
        <f t="shared" si="23"/>
        <v>592666.9090909091</v>
      </c>
      <c r="T47" s="196">
        <v>764464</v>
      </c>
      <c r="U47" s="198">
        <v>647303</v>
      </c>
      <c r="V47" s="196">
        <v>748185</v>
      </c>
      <c r="W47" s="209">
        <v>764464</v>
      </c>
      <c r="X47" s="89">
        <v>653095</v>
      </c>
      <c r="Y47" s="62">
        <f t="shared" si="24"/>
        <v>107333.09090909094</v>
      </c>
    </row>
    <row r="48" spans="2:26" s="5" customFormat="1" ht="12" customHeight="1" thickBot="1">
      <c r="B48" s="208"/>
      <c r="C48" s="207" t="s">
        <v>5</v>
      </c>
      <c r="D48" s="206">
        <f aca="true" t="shared" si="39" ref="D48:Y48">SUM(D32:D47)</f>
        <v>86750000</v>
      </c>
      <c r="E48" s="203">
        <f>SUM(E32:E47)</f>
        <v>78272416</v>
      </c>
      <c r="F48" s="203">
        <f t="shared" si="39"/>
        <v>4265209</v>
      </c>
      <c r="G48" s="203">
        <f t="shared" si="39"/>
        <v>5518433</v>
      </c>
      <c r="H48" s="205">
        <f t="shared" si="39"/>
        <v>5978118.468900001</v>
      </c>
      <c r="I48" s="205">
        <f t="shared" si="39"/>
        <v>6476095.737359369</v>
      </c>
      <c r="J48" s="205">
        <f t="shared" si="39"/>
        <v>7015554.512281406</v>
      </c>
      <c r="K48" s="205">
        <f t="shared" si="39"/>
        <v>7599950.203154446</v>
      </c>
      <c r="L48" s="205">
        <f t="shared" si="39"/>
        <v>8233026.055077211</v>
      </c>
      <c r="M48" s="205">
        <f t="shared" si="39"/>
        <v>8918837.125465145</v>
      </c>
      <c r="N48" s="205">
        <f t="shared" si="39"/>
        <v>9661776.25801639</v>
      </c>
      <c r="O48" s="205">
        <f t="shared" si="39"/>
        <v>10466602.220309155</v>
      </c>
      <c r="P48" s="205">
        <f t="shared" si="39"/>
        <v>11338470.185260909</v>
      </c>
      <c r="Q48" s="205">
        <f t="shared" si="39"/>
        <v>12282964.75169314</v>
      </c>
      <c r="R48" s="56">
        <f t="shared" si="39"/>
        <v>97755037.51751716</v>
      </c>
      <c r="S48" s="56">
        <f t="shared" si="39"/>
        <v>85388090.18181819</v>
      </c>
      <c r="T48" s="56">
        <f t="shared" si="39"/>
        <v>89828401</v>
      </c>
      <c r="U48" s="56">
        <f t="shared" si="39"/>
        <v>89246172</v>
      </c>
      <c r="V48" s="56">
        <f t="shared" si="39"/>
        <v>95915916</v>
      </c>
      <c r="W48" s="64">
        <f t="shared" si="39"/>
        <v>91173935.09</v>
      </c>
      <c r="X48" s="56">
        <f t="shared" si="39"/>
        <v>73847476</v>
      </c>
      <c r="Y48" s="56">
        <f t="shared" si="39"/>
        <v>1361909.8181818184</v>
      </c>
      <c r="Z48" s="4"/>
    </row>
    <row r="49" spans="9:25" s="5" customFormat="1" ht="12" customHeight="1" thickBot="1"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57"/>
      <c r="T49" s="57"/>
      <c r="U49" s="57"/>
      <c r="V49" s="57"/>
      <c r="W49" s="57"/>
      <c r="X49" s="57"/>
      <c r="Y49" s="69"/>
    </row>
    <row r="50" spans="2:25" s="5" customFormat="1" ht="12" customHeight="1" thickBot="1">
      <c r="B50" s="118"/>
      <c r="C50" s="82" t="s">
        <v>43</v>
      </c>
      <c r="D50" s="109"/>
      <c r="E50" s="109"/>
      <c r="F50" s="109"/>
      <c r="G50" s="109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84"/>
      <c r="T50" s="60"/>
      <c r="U50" s="60"/>
      <c r="V50" s="115"/>
      <c r="W50" s="115"/>
      <c r="X50" s="115"/>
      <c r="Y50" s="107"/>
    </row>
    <row r="51" spans="2:25" s="5" customFormat="1" ht="12" customHeight="1">
      <c r="B51" s="101">
        <v>32040.006</v>
      </c>
      <c r="C51" s="102" t="s">
        <v>44</v>
      </c>
      <c r="D51" s="201">
        <v>5500000</v>
      </c>
      <c r="E51" s="201">
        <v>5150000</v>
      </c>
      <c r="F51" s="201"/>
      <c r="G51" s="201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>
        <v>5000000</v>
      </c>
      <c r="T51" s="198">
        <f aca="true" t="shared" si="40" ref="T51:W53">S51</f>
        <v>5000000</v>
      </c>
      <c r="U51" s="198">
        <f t="shared" si="40"/>
        <v>5000000</v>
      </c>
      <c r="V51" s="200">
        <f t="shared" si="40"/>
        <v>5000000</v>
      </c>
      <c r="W51" s="200">
        <f t="shared" si="40"/>
        <v>5000000</v>
      </c>
      <c r="X51" s="200">
        <v>3700000</v>
      </c>
      <c r="Y51" s="62">
        <f>D51-S51</f>
        <v>500000</v>
      </c>
    </row>
    <row r="52" spans="2:25" s="5" customFormat="1" ht="12" customHeight="1">
      <c r="B52" s="103">
        <v>32040.001</v>
      </c>
      <c r="C52" s="83" t="s">
        <v>45</v>
      </c>
      <c r="D52" s="199">
        <v>7200000</v>
      </c>
      <c r="E52" s="199">
        <v>6950000</v>
      </c>
      <c r="F52" s="199"/>
      <c r="G52" s="199"/>
      <c r="H52" s="197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>
        <v>6900000</v>
      </c>
      <c r="T52" s="198">
        <f t="shared" si="40"/>
        <v>6900000</v>
      </c>
      <c r="U52" s="198">
        <f t="shared" si="40"/>
        <v>6900000</v>
      </c>
      <c r="V52" s="197">
        <f t="shared" si="40"/>
        <v>6900000</v>
      </c>
      <c r="W52" s="197">
        <f t="shared" si="40"/>
        <v>6900000</v>
      </c>
      <c r="X52" s="197">
        <v>6400000</v>
      </c>
      <c r="Y52" s="62">
        <f aca="true" t="shared" si="41" ref="Y52:Y57">D52-S52</f>
        <v>300000</v>
      </c>
    </row>
    <row r="53" spans="2:25" s="5" customFormat="1" ht="12" customHeight="1">
      <c r="B53" s="103">
        <v>32040.002</v>
      </c>
      <c r="C53" s="83" t="s">
        <v>46</v>
      </c>
      <c r="D53" s="199">
        <v>4300000</v>
      </c>
      <c r="E53" s="199">
        <v>4070000</v>
      </c>
      <c r="F53" s="199"/>
      <c r="G53" s="199"/>
      <c r="H53" s="197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>
        <v>4300000</v>
      </c>
      <c r="T53" s="198">
        <f t="shared" si="40"/>
        <v>4300000</v>
      </c>
      <c r="U53" s="198">
        <f t="shared" si="40"/>
        <v>4300000</v>
      </c>
      <c r="V53" s="197">
        <f t="shared" si="40"/>
        <v>4300000</v>
      </c>
      <c r="W53" s="197">
        <f t="shared" si="40"/>
        <v>4300000</v>
      </c>
      <c r="X53" s="197">
        <v>2600000</v>
      </c>
      <c r="Y53" s="62">
        <f t="shared" si="41"/>
        <v>0</v>
      </c>
    </row>
    <row r="54" spans="2:25" s="5" customFormat="1" ht="12" customHeight="1">
      <c r="B54" s="223">
        <v>32040.005</v>
      </c>
      <c r="C54" s="224" t="s">
        <v>47</v>
      </c>
      <c r="D54" s="225">
        <v>20000000</v>
      </c>
      <c r="E54" s="225">
        <v>19518858</v>
      </c>
      <c r="F54" s="225"/>
      <c r="G54" s="225"/>
      <c r="H54" s="226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>
        <v>22000000</v>
      </c>
      <c r="T54" s="227">
        <f aca="true" t="shared" si="42" ref="T54:V55">S54</f>
        <v>22000000</v>
      </c>
      <c r="U54" s="227">
        <f t="shared" si="42"/>
        <v>22000000</v>
      </c>
      <c r="V54" s="226">
        <f t="shared" si="42"/>
        <v>22000000</v>
      </c>
      <c r="W54" s="226">
        <v>16000000</v>
      </c>
      <c r="X54" s="226">
        <v>24336038</v>
      </c>
      <c r="Y54" s="113">
        <f t="shared" si="41"/>
        <v>-2000000</v>
      </c>
    </row>
    <row r="55" spans="2:25" s="5" customFormat="1" ht="12" customHeight="1">
      <c r="B55" s="103">
        <v>32040.003</v>
      </c>
      <c r="C55" s="83" t="s">
        <v>48</v>
      </c>
      <c r="D55" s="199">
        <v>97547000</v>
      </c>
      <c r="E55" s="199">
        <v>97547000</v>
      </c>
      <c r="F55" s="199"/>
      <c r="G55" s="199"/>
      <c r="H55" s="197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>
        <v>97547000</v>
      </c>
      <c r="T55" s="198">
        <f t="shared" si="42"/>
        <v>97547000</v>
      </c>
      <c r="U55" s="198">
        <f t="shared" si="42"/>
        <v>97547000</v>
      </c>
      <c r="V55" s="197">
        <f t="shared" si="42"/>
        <v>97547000</v>
      </c>
      <c r="W55" s="197">
        <f>V55</f>
        <v>97547000</v>
      </c>
      <c r="X55" s="197">
        <v>96608000</v>
      </c>
      <c r="Y55" s="62">
        <f t="shared" si="41"/>
        <v>0</v>
      </c>
    </row>
    <row r="56" spans="2:25" s="5" customFormat="1" ht="12" customHeight="1">
      <c r="B56" s="103">
        <v>32040.004</v>
      </c>
      <c r="C56" s="83" t="s">
        <v>49</v>
      </c>
      <c r="D56" s="199">
        <v>13150000</v>
      </c>
      <c r="E56" s="199">
        <v>13150000</v>
      </c>
      <c r="F56" s="199"/>
      <c r="G56" s="199"/>
      <c r="H56" s="197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>
        <v>13150000</v>
      </c>
      <c r="T56" s="198">
        <f>S56</f>
        <v>13150000</v>
      </c>
      <c r="U56" s="198">
        <f>T56</f>
        <v>13150000</v>
      </c>
      <c r="V56" s="197">
        <v>13150000</v>
      </c>
      <c r="W56" s="197">
        <v>13150000</v>
      </c>
      <c r="X56" s="197">
        <v>10150000</v>
      </c>
      <c r="Y56" s="62">
        <f t="shared" si="41"/>
        <v>0</v>
      </c>
    </row>
    <row r="57" spans="2:25" s="5" customFormat="1" ht="12" customHeight="1" thickBot="1">
      <c r="B57" s="233">
        <v>32040.008</v>
      </c>
      <c r="C57" s="234" t="s">
        <v>50</v>
      </c>
      <c r="D57" s="235">
        <v>6000000</v>
      </c>
      <c r="E57" s="235">
        <v>4432706</v>
      </c>
      <c r="F57" s="235"/>
      <c r="G57" s="235"/>
      <c r="H57" s="236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>
        <v>6000000</v>
      </c>
      <c r="T57" s="237">
        <v>2200000</v>
      </c>
      <c r="U57" s="237">
        <v>6000000</v>
      </c>
      <c r="V57" s="236">
        <v>6000000</v>
      </c>
      <c r="W57" s="236">
        <f>V57</f>
        <v>6000000</v>
      </c>
      <c r="X57" s="236">
        <v>3282841</v>
      </c>
      <c r="Y57" s="113">
        <f t="shared" si="41"/>
        <v>0</v>
      </c>
    </row>
    <row r="58" spans="2:26" s="5" customFormat="1" ht="12" customHeight="1" thickBot="1">
      <c r="B58" s="88"/>
      <c r="C58" s="55" t="s">
        <v>5</v>
      </c>
      <c r="D58" s="64">
        <f>SUM(D51:D57)</f>
        <v>153697000</v>
      </c>
      <c r="E58" s="56">
        <f>SUM(E51:E57)</f>
        <v>150818564</v>
      </c>
      <c r="F58" s="64"/>
      <c r="G58" s="64"/>
      <c r="H58" s="56">
        <f>SUM(H51:H57)</f>
        <v>0</v>
      </c>
      <c r="I58" s="64"/>
      <c r="J58" s="64"/>
      <c r="K58" s="64"/>
      <c r="L58" s="64"/>
      <c r="M58" s="64"/>
      <c r="N58" s="64"/>
      <c r="O58" s="64"/>
      <c r="P58" s="64"/>
      <c r="Q58" s="64"/>
      <c r="R58" s="56"/>
      <c r="S58" s="64">
        <f aca="true" t="shared" si="43" ref="S58:Y58">SUM(S51:S57)</f>
        <v>154897000</v>
      </c>
      <c r="T58" s="64">
        <f t="shared" si="43"/>
        <v>151097000</v>
      </c>
      <c r="U58" s="56">
        <f t="shared" si="43"/>
        <v>154897000</v>
      </c>
      <c r="V58" s="56">
        <f t="shared" si="43"/>
        <v>154897000</v>
      </c>
      <c r="W58" s="56">
        <f t="shared" si="43"/>
        <v>148897000</v>
      </c>
      <c r="X58" s="56">
        <f t="shared" si="43"/>
        <v>147076879</v>
      </c>
      <c r="Y58" s="56">
        <f t="shared" si="43"/>
        <v>-1200000</v>
      </c>
      <c r="Z58" s="4"/>
    </row>
    <row r="59" spans="9:25" s="5" customFormat="1" ht="12" customHeight="1" thickBot="1"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57"/>
      <c r="T59" s="57"/>
      <c r="U59" s="57"/>
      <c r="V59" s="57"/>
      <c r="W59" s="57"/>
      <c r="X59" s="57"/>
      <c r="Y59" s="69"/>
    </row>
    <row r="60" spans="2:25" s="5" customFormat="1" ht="12" customHeight="1" thickBot="1">
      <c r="B60" s="195"/>
      <c r="C60" s="194" t="s">
        <v>51</v>
      </c>
      <c r="D60" s="287"/>
      <c r="E60" s="284"/>
      <c r="F60" s="284"/>
      <c r="G60" s="284"/>
      <c r="H60" s="288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2"/>
      <c r="T60" s="192"/>
      <c r="U60" s="192"/>
      <c r="V60" s="192"/>
      <c r="W60" s="192"/>
      <c r="X60" s="192"/>
      <c r="Y60" s="107"/>
    </row>
    <row r="61" spans="2:25" s="5" customFormat="1" ht="12" customHeight="1">
      <c r="B61" s="191">
        <v>32050.001</v>
      </c>
      <c r="C61" s="190" t="s">
        <v>52</v>
      </c>
      <c r="D61" s="189">
        <f>550000+13000000-12000000</f>
        <v>1550000</v>
      </c>
      <c r="E61" s="189">
        <v>25581311</v>
      </c>
      <c r="F61" s="189"/>
      <c r="G61" s="189"/>
      <c r="H61" s="189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>
        <v>1643583</v>
      </c>
      <c r="T61" s="187">
        <f aca="true" t="shared" si="44" ref="T61:T73">S61</f>
        <v>1643583</v>
      </c>
      <c r="U61" s="187">
        <v>1643583</v>
      </c>
      <c r="V61" s="187">
        <f>U61</f>
        <v>1643583</v>
      </c>
      <c r="W61" s="188">
        <f>V61</f>
        <v>1643583</v>
      </c>
      <c r="X61" s="187"/>
      <c r="Y61" s="184">
        <f aca="true" t="shared" si="45" ref="Y61:Y73">D61-U61</f>
        <v>-93583</v>
      </c>
    </row>
    <row r="62" spans="2:25" s="5" customFormat="1" ht="12" customHeight="1">
      <c r="B62" s="178"/>
      <c r="C62" s="177" t="s">
        <v>72</v>
      </c>
      <c r="D62" s="176">
        <v>25000000</v>
      </c>
      <c r="E62" s="176"/>
      <c r="F62" s="176"/>
      <c r="G62" s="176"/>
      <c r="H62" s="176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>
        <v>25000000</v>
      </c>
      <c r="T62" s="174">
        <f t="shared" si="44"/>
        <v>25000000</v>
      </c>
      <c r="U62" s="174">
        <f aca="true" t="shared" si="46" ref="U62:U69">T62</f>
        <v>25000000</v>
      </c>
      <c r="V62" s="174">
        <v>25000000</v>
      </c>
      <c r="W62" s="185">
        <v>24000000</v>
      </c>
      <c r="X62" s="174"/>
      <c r="Y62" s="184">
        <f t="shared" si="45"/>
        <v>0</v>
      </c>
    </row>
    <row r="63" spans="2:25" s="5" customFormat="1" ht="12" customHeight="1">
      <c r="B63" s="178"/>
      <c r="C63" s="177" t="s">
        <v>74</v>
      </c>
      <c r="D63" s="176">
        <v>30000000</v>
      </c>
      <c r="E63" s="176"/>
      <c r="F63" s="176"/>
      <c r="G63" s="176"/>
      <c r="H63" s="176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>
        <v>30000000</v>
      </c>
      <c r="T63" s="174">
        <f t="shared" si="44"/>
        <v>30000000</v>
      </c>
      <c r="U63" s="174">
        <f t="shared" si="46"/>
        <v>30000000</v>
      </c>
      <c r="V63" s="174">
        <f aca="true" t="shared" si="47" ref="V63:W71">U63</f>
        <v>30000000</v>
      </c>
      <c r="W63" s="185">
        <f t="shared" si="47"/>
        <v>30000000</v>
      </c>
      <c r="X63" s="174"/>
      <c r="Y63" s="184">
        <f t="shared" si="45"/>
        <v>0</v>
      </c>
    </row>
    <row r="64" spans="2:25" s="5" customFormat="1" ht="12" customHeight="1">
      <c r="B64" s="178"/>
      <c r="C64" s="177" t="s">
        <v>53</v>
      </c>
      <c r="D64" s="176">
        <v>4500000</v>
      </c>
      <c r="E64" s="176"/>
      <c r="F64" s="176"/>
      <c r="G64" s="176"/>
      <c r="H64" s="176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>
        <v>4500000</v>
      </c>
      <c r="T64" s="174">
        <f t="shared" si="44"/>
        <v>4500000</v>
      </c>
      <c r="U64" s="174">
        <f t="shared" si="46"/>
        <v>4500000</v>
      </c>
      <c r="V64" s="174">
        <f t="shared" si="47"/>
        <v>4500000</v>
      </c>
      <c r="W64" s="174">
        <f t="shared" si="47"/>
        <v>4500000</v>
      </c>
      <c r="X64" s="174"/>
      <c r="Y64" s="184">
        <f t="shared" si="45"/>
        <v>0</v>
      </c>
    </row>
    <row r="65" spans="2:25" s="5" customFormat="1" ht="12" customHeight="1">
      <c r="B65" s="178"/>
      <c r="C65" s="177" t="s">
        <v>75</v>
      </c>
      <c r="D65" s="176">
        <v>2500000</v>
      </c>
      <c r="E65" s="176"/>
      <c r="F65" s="176"/>
      <c r="G65" s="176"/>
      <c r="H65" s="176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>
        <v>2500000</v>
      </c>
      <c r="T65" s="174">
        <f t="shared" si="44"/>
        <v>2500000</v>
      </c>
      <c r="U65" s="174">
        <f t="shared" si="46"/>
        <v>2500000</v>
      </c>
      <c r="V65" s="174">
        <f t="shared" si="47"/>
        <v>2500000</v>
      </c>
      <c r="W65" s="174">
        <f t="shared" si="47"/>
        <v>2500000</v>
      </c>
      <c r="X65" s="174"/>
      <c r="Y65" s="184">
        <f t="shared" si="45"/>
        <v>0</v>
      </c>
    </row>
    <row r="66" spans="2:25" s="5" customFormat="1" ht="12" customHeight="1">
      <c r="B66" s="178"/>
      <c r="C66" s="177" t="s">
        <v>76</v>
      </c>
      <c r="D66" s="176">
        <v>1200000</v>
      </c>
      <c r="E66" s="176"/>
      <c r="F66" s="176"/>
      <c r="G66" s="176"/>
      <c r="H66" s="176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>
        <v>1200000</v>
      </c>
      <c r="T66" s="174">
        <f t="shared" si="44"/>
        <v>1200000</v>
      </c>
      <c r="U66" s="174">
        <f t="shared" si="46"/>
        <v>1200000</v>
      </c>
      <c r="V66" s="174">
        <f t="shared" si="47"/>
        <v>1200000</v>
      </c>
      <c r="W66" s="174">
        <f t="shared" si="47"/>
        <v>1200000</v>
      </c>
      <c r="X66" s="174"/>
      <c r="Y66" s="184">
        <f t="shared" si="45"/>
        <v>0</v>
      </c>
    </row>
    <row r="67" spans="2:25" s="5" customFormat="1" ht="12" customHeight="1">
      <c r="B67" s="178">
        <v>32050.005</v>
      </c>
      <c r="C67" s="177" t="s">
        <v>85</v>
      </c>
      <c r="D67" s="176"/>
      <c r="E67" s="176"/>
      <c r="F67" s="176"/>
      <c r="G67" s="176"/>
      <c r="H67" s="176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>
        <v>1484371</v>
      </c>
      <c r="T67" s="174">
        <f t="shared" si="44"/>
        <v>1484371</v>
      </c>
      <c r="U67" s="174">
        <f t="shared" si="46"/>
        <v>1484371</v>
      </c>
      <c r="V67" s="174">
        <f t="shared" si="47"/>
        <v>1484371</v>
      </c>
      <c r="W67" s="174">
        <f t="shared" si="47"/>
        <v>1484371</v>
      </c>
      <c r="X67" s="174"/>
      <c r="Y67" s="184">
        <f t="shared" si="45"/>
        <v>-1484371</v>
      </c>
    </row>
    <row r="68" spans="2:25" s="5" customFormat="1" ht="12" customHeight="1">
      <c r="B68" s="178">
        <v>32050.008</v>
      </c>
      <c r="C68" s="177" t="s">
        <v>101</v>
      </c>
      <c r="D68" s="176"/>
      <c r="E68" s="176"/>
      <c r="F68" s="176"/>
      <c r="G68" s="176"/>
      <c r="H68" s="176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>
        <v>1500000</v>
      </c>
      <c r="T68" s="174">
        <f t="shared" si="44"/>
        <v>1500000</v>
      </c>
      <c r="U68" s="174">
        <f t="shared" si="46"/>
        <v>1500000</v>
      </c>
      <c r="V68" s="174">
        <f t="shared" si="47"/>
        <v>1500000</v>
      </c>
      <c r="W68" s="174">
        <f t="shared" si="47"/>
        <v>1500000</v>
      </c>
      <c r="X68" s="174"/>
      <c r="Y68" s="184">
        <f t="shared" si="45"/>
        <v>-1500000</v>
      </c>
    </row>
    <row r="69" spans="2:25" s="5" customFormat="1" ht="12" customHeight="1">
      <c r="B69" s="186"/>
      <c r="C69" s="117" t="s">
        <v>80</v>
      </c>
      <c r="D69" s="111">
        <v>10000000</v>
      </c>
      <c r="F69" s="111"/>
      <c r="G69" s="111"/>
      <c r="H69" s="111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>
        <v>10000000</v>
      </c>
      <c r="T69" s="185">
        <f t="shared" si="44"/>
        <v>10000000</v>
      </c>
      <c r="U69" s="185">
        <f t="shared" si="46"/>
        <v>10000000</v>
      </c>
      <c r="V69" s="185">
        <f t="shared" si="47"/>
        <v>10000000</v>
      </c>
      <c r="W69" s="185">
        <f t="shared" si="47"/>
        <v>10000000</v>
      </c>
      <c r="X69" s="185"/>
      <c r="Y69" s="184">
        <f t="shared" si="45"/>
        <v>0</v>
      </c>
    </row>
    <row r="70" spans="2:25" s="5" customFormat="1" ht="12" customHeight="1">
      <c r="B70" s="186"/>
      <c r="C70" s="117" t="s">
        <v>78</v>
      </c>
      <c r="D70" s="111">
        <v>10000000</v>
      </c>
      <c r="E70" s="111"/>
      <c r="F70" s="111"/>
      <c r="G70" s="111"/>
      <c r="H70" s="111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>
        <v>7383375</v>
      </c>
      <c r="T70" s="185">
        <f t="shared" si="44"/>
        <v>7383375</v>
      </c>
      <c r="U70" s="185">
        <v>7383375</v>
      </c>
      <c r="V70" s="185">
        <f t="shared" si="47"/>
        <v>7383375</v>
      </c>
      <c r="W70" s="185">
        <f t="shared" si="47"/>
        <v>7383375</v>
      </c>
      <c r="X70" s="185"/>
      <c r="Y70" s="184">
        <f t="shared" si="45"/>
        <v>2616625</v>
      </c>
    </row>
    <row r="71" spans="1:25" s="5" customFormat="1" ht="12" customHeight="1">
      <c r="A71" s="5" t="s">
        <v>83</v>
      </c>
      <c r="B71" s="228"/>
      <c r="C71" s="229" t="s">
        <v>77</v>
      </c>
      <c r="D71" s="230">
        <v>4400000</v>
      </c>
      <c r="E71" s="230"/>
      <c r="F71" s="230"/>
      <c r="G71" s="230"/>
      <c r="H71" s="230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>
        <v>8000000</v>
      </c>
      <c r="T71" s="231">
        <f t="shared" si="44"/>
        <v>8000000</v>
      </c>
      <c r="U71" s="231">
        <v>8000000</v>
      </c>
      <c r="V71" s="231">
        <v>8000000</v>
      </c>
      <c r="W71" s="231">
        <f t="shared" si="47"/>
        <v>8000000</v>
      </c>
      <c r="X71" s="231"/>
      <c r="Y71" s="232">
        <f t="shared" si="45"/>
        <v>-3600000</v>
      </c>
    </row>
    <row r="72" spans="2:25" s="5" customFormat="1" ht="12" customHeight="1">
      <c r="B72" s="178">
        <v>32050.016</v>
      </c>
      <c r="C72" s="177" t="s">
        <v>79</v>
      </c>
      <c r="D72" s="176">
        <v>70000000</v>
      </c>
      <c r="E72" s="176">
        <v>40000</v>
      </c>
      <c r="F72" s="176"/>
      <c r="G72" s="176"/>
      <c r="H72" s="176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>
        <v>76000000</v>
      </c>
      <c r="T72" s="174">
        <f t="shared" si="44"/>
        <v>76000000</v>
      </c>
      <c r="U72" s="174">
        <f>T72</f>
        <v>76000000</v>
      </c>
      <c r="V72" s="174">
        <v>74000000</v>
      </c>
      <c r="W72" s="174">
        <v>70000000</v>
      </c>
      <c r="X72" s="174"/>
      <c r="Y72" s="184">
        <f t="shared" si="45"/>
        <v>-6000000</v>
      </c>
    </row>
    <row r="73" spans="2:25" s="5" customFormat="1" ht="12" customHeight="1">
      <c r="B73" s="178">
        <v>32050.019</v>
      </c>
      <c r="C73" s="177" t="s">
        <v>54</v>
      </c>
      <c r="D73" s="176">
        <v>2000000</v>
      </c>
      <c r="E73" s="176"/>
      <c r="F73" s="176"/>
      <c r="G73" s="176"/>
      <c r="H73" s="176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>
        <v>2000000</v>
      </c>
      <c r="T73" s="174">
        <f t="shared" si="44"/>
        <v>2000000</v>
      </c>
      <c r="U73" s="174">
        <f>T73</f>
        <v>2000000</v>
      </c>
      <c r="V73" s="174">
        <f>U73</f>
        <v>2000000</v>
      </c>
      <c r="W73" s="174">
        <f>V73</f>
        <v>2000000</v>
      </c>
      <c r="X73" s="174"/>
      <c r="Y73" s="184">
        <f t="shared" si="45"/>
        <v>0</v>
      </c>
    </row>
    <row r="74" spans="2:26" s="5" customFormat="1" ht="12" customHeight="1" thickBot="1">
      <c r="B74" s="172"/>
      <c r="C74" s="171" t="s">
        <v>5</v>
      </c>
      <c r="D74" s="170">
        <f>SUM(D61:D73)</f>
        <v>161150000</v>
      </c>
      <c r="E74" s="167">
        <f>SUM(E61:E73)</f>
        <v>25621311</v>
      </c>
      <c r="F74" s="167"/>
      <c r="G74" s="167"/>
      <c r="H74" s="167">
        <f>SUM(H61:H73)</f>
        <v>0</v>
      </c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>
        <f>SUM(S61:S73)</f>
        <v>171211329</v>
      </c>
      <c r="T74" s="167">
        <f>SUM(T61:T73)</f>
        <v>171211329</v>
      </c>
      <c r="U74" s="167">
        <f>SUM(U61:U73)</f>
        <v>171211329</v>
      </c>
      <c r="V74" s="167">
        <f>SUM(V61:V73)</f>
        <v>169211329</v>
      </c>
      <c r="W74" s="167">
        <f>SUM(W61:W73)</f>
        <v>164211329</v>
      </c>
      <c r="X74" s="167"/>
      <c r="Y74" s="166">
        <f>SUM(Y61:Y73)</f>
        <v>-10061329</v>
      </c>
      <c r="Z74" s="4"/>
    </row>
    <row r="75" spans="2:25" s="5" customFormat="1" ht="12" customHeight="1" thickBot="1">
      <c r="B75" s="281"/>
      <c r="C75" s="282"/>
      <c r="D75" s="282"/>
      <c r="E75" s="282"/>
      <c r="F75" s="282"/>
      <c r="G75" s="282"/>
      <c r="H75" s="282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57"/>
      <c r="T75" s="57"/>
      <c r="U75" s="57"/>
      <c r="V75" s="57"/>
      <c r="W75" s="57"/>
      <c r="X75" s="57"/>
      <c r="Y75" s="69"/>
    </row>
    <row r="76" spans="2:25" s="5" customFormat="1" ht="12" customHeight="1">
      <c r="B76" s="183"/>
      <c r="C76" s="182" t="s">
        <v>55</v>
      </c>
      <c r="D76" s="289"/>
      <c r="E76" s="290"/>
      <c r="F76" s="290"/>
      <c r="G76" s="290"/>
      <c r="H76" s="29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0"/>
      <c r="T76" s="180"/>
      <c r="U76" s="180"/>
      <c r="V76" s="180"/>
      <c r="W76" s="180"/>
      <c r="X76" s="180"/>
      <c r="Y76" s="179"/>
    </row>
    <row r="77" spans="2:25" s="5" customFormat="1" ht="12" customHeight="1">
      <c r="B77" s="178">
        <v>11030.001</v>
      </c>
      <c r="C77" s="177" t="s">
        <v>56</v>
      </c>
      <c r="D77" s="176">
        <v>6500000</v>
      </c>
      <c r="E77" s="174">
        <v>3781299</v>
      </c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>
        <f>7404139+776139</f>
        <v>8180278</v>
      </c>
      <c r="T77" s="174">
        <f aca="true" t="shared" si="48" ref="T77:W79">S77</f>
        <v>8180278</v>
      </c>
      <c r="U77" s="174">
        <f t="shared" si="48"/>
        <v>8180278</v>
      </c>
      <c r="V77" s="174">
        <f t="shared" si="48"/>
        <v>8180278</v>
      </c>
      <c r="W77" s="174">
        <f t="shared" si="48"/>
        <v>8180278</v>
      </c>
      <c r="X77" s="174"/>
      <c r="Y77" s="173">
        <f>D77-S77</f>
        <v>-1680278</v>
      </c>
    </row>
    <row r="78" spans="2:25" s="5" customFormat="1" ht="12" customHeight="1">
      <c r="B78" s="178">
        <v>11030.002</v>
      </c>
      <c r="C78" s="177" t="s">
        <v>57</v>
      </c>
      <c r="D78" s="176">
        <v>4022000</v>
      </c>
      <c r="E78" s="174">
        <v>2510000</v>
      </c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>
        <v>4022000</v>
      </c>
      <c r="T78" s="174">
        <f t="shared" si="48"/>
        <v>4022000</v>
      </c>
      <c r="U78" s="174">
        <f t="shared" si="48"/>
        <v>4022000</v>
      </c>
      <c r="V78" s="174">
        <f t="shared" si="48"/>
        <v>4022000</v>
      </c>
      <c r="W78" s="174">
        <f t="shared" si="48"/>
        <v>4022000</v>
      </c>
      <c r="X78" s="174"/>
      <c r="Y78" s="173">
        <f>D78-S78</f>
        <v>0</v>
      </c>
    </row>
    <row r="79" spans="2:25" s="5" customFormat="1" ht="12" customHeight="1">
      <c r="B79" s="178">
        <v>11030.005</v>
      </c>
      <c r="C79" s="177" t="s">
        <v>58</v>
      </c>
      <c r="D79" s="176">
        <v>4478000</v>
      </c>
      <c r="E79" s="174">
        <v>900000</v>
      </c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>
        <v>4350000</v>
      </c>
      <c r="T79" s="174">
        <f t="shared" si="48"/>
        <v>4350000</v>
      </c>
      <c r="U79" s="174">
        <f t="shared" si="48"/>
        <v>4350000</v>
      </c>
      <c r="V79" s="174">
        <f t="shared" si="48"/>
        <v>4350000</v>
      </c>
      <c r="W79" s="174">
        <f t="shared" si="48"/>
        <v>4350000</v>
      </c>
      <c r="X79" s="174"/>
      <c r="Y79" s="173">
        <f>D79-S79</f>
        <v>128000</v>
      </c>
    </row>
    <row r="80" spans="2:25" s="5" customFormat="1" ht="12" customHeight="1" thickBot="1">
      <c r="B80" s="172"/>
      <c r="C80" s="171" t="s">
        <v>5</v>
      </c>
      <c r="D80" s="170">
        <f>SUM(D77:D79)</f>
        <v>15000000</v>
      </c>
      <c r="E80" s="170">
        <f>SUM(E77:E79)</f>
        <v>7191299</v>
      </c>
      <c r="F80" s="170"/>
      <c r="G80" s="170"/>
      <c r="H80" s="170">
        <f>SUM(H77:H79)</f>
        <v>0</v>
      </c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>
        <f>SUM(S77:S79)</f>
        <v>16552278</v>
      </c>
      <c r="T80" s="167">
        <f>SUM(T77:T79)</f>
        <v>16552278</v>
      </c>
      <c r="U80" s="167">
        <f>SUM(U77:U79)</f>
        <v>16552278</v>
      </c>
      <c r="V80" s="167">
        <f>SUM(V77:V79)</f>
        <v>16552278</v>
      </c>
      <c r="W80" s="167">
        <f>SUM(W77:W79)</f>
        <v>16552278</v>
      </c>
      <c r="X80" s="167"/>
      <c r="Y80" s="166">
        <f>SUM(Y77:Y79)</f>
        <v>-1552278</v>
      </c>
    </row>
    <row r="81" spans="2:25" s="5" customFormat="1" ht="12" customHeight="1" thickBot="1">
      <c r="B81" s="281"/>
      <c r="C81" s="282"/>
      <c r="D81" s="282"/>
      <c r="E81" s="282"/>
      <c r="F81" s="282"/>
      <c r="G81" s="282"/>
      <c r="H81" s="282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57"/>
      <c r="T81" s="57"/>
      <c r="U81" s="57"/>
      <c r="V81" s="57"/>
      <c r="W81" s="57"/>
      <c r="X81" s="57"/>
      <c r="Y81" s="69"/>
    </row>
    <row r="82" spans="2:25" s="5" customFormat="1" ht="12" customHeight="1">
      <c r="B82" s="183"/>
      <c r="C82" s="182" t="s">
        <v>59</v>
      </c>
      <c r="D82" s="289"/>
      <c r="E82" s="290"/>
      <c r="F82" s="290"/>
      <c r="G82" s="290"/>
      <c r="H82" s="29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0"/>
      <c r="T82" s="180"/>
      <c r="U82" s="180"/>
      <c r="V82" s="180"/>
      <c r="W82" s="180"/>
      <c r="X82" s="180"/>
      <c r="Y82" s="179"/>
    </row>
    <row r="83" spans="2:25" s="5" customFormat="1" ht="12" customHeight="1">
      <c r="B83" s="178">
        <v>21030.001</v>
      </c>
      <c r="C83" s="177" t="s">
        <v>60</v>
      </c>
      <c r="D83" s="176">
        <v>13600000</v>
      </c>
      <c r="E83" s="174">
        <v>3969000</v>
      </c>
      <c r="F83" s="174"/>
      <c r="G83" s="174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4">
        <v>15000000</v>
      </c>
      <c r="T83" s="174">
        <f>S83</f>
        <v>15000000</v>
      </c>
      <c r="U83" s="174">
        <f>T83</f>
        <v>15000000</v>
      </c>
      <c r="V83" s="174">
        <v>15000000</v>
      </c>
      <c r="W83" s="174">
        <v>13600000</v>
      </c>
      <c r="X83" s="174"/>
      <c r="Y83" s="173">
        <f>D83-S83</f>
        <v>-1400000</v>
      </c>
    </row>
    <row r="84" spans="2:25" s="5" customFormat="1" ht="12" customHeight="1" thickBot="1">
      <c r="B84" s="172"/>
      <c r="C84" s="171" t="s">
        <v>5</v>
      </c>
      <c r="D84" s="170">
        <f>D83</f>
        <v>13600000</v>
      </c>
      <c r="E84" s="170">
        <f>SUM(E83)</f>
        <v>3969000</v>
      </c>
      <c r="F84" s="170"/>
      <c r="G84" s="170"/>
      <c r="H84" s="169">
        <f>SUM(H83)</f>
        <v>0</v>
      </c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7">
        <f>SUM(S83)</f>
        <v>15000000</v>
      </c>
      <c r="T84" s="167">
        <f>SUM(T83)</f>
        <v>15000000</v>
      </c>
      <c r="U84" s="167">
        <f>SUM(U83)</f>
        <v>15000000</v>
      </c>
      <c r="V84" s="167">
        <f>SUM(V83)</f>
        <v>15000000</v>
      </c>
      <c r="W84" s="167">
        <f>SUM(W83)</f>
        <v>13600000</v>
      </c>
      <c r="X84" s="167"/>
      <c r="Y84" s="166">
        <f>SUM(Y83)</f>
        <v>-1400000</v>
      </c>
    </row>
    <row r="85" spans="2:25" s="5" customFormat="1" ht="12" customHeight="1" thickBot="1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66"/>
      <c r="T85" s="66"/>
      <c r="U85" s="66"/>
      <c r="V85" s="66"/>
      <c r="W85" s="66"/>
      <c r="X85" s="66"/>
      <c r="Y85" s="69"/>
    </row>
    <row r="86" spans="2:25" s="5" customFormat="1" ht="12" customHeight="1">
      <c r="B86" s="183"/>
      <c r="C86" s="182" t="s">
        <v>63</v>
      </c>
      <c r="D86" s="289"/>
      <c r="E86" s="290"/>
      <c r="F86" s="290"/>
      <c r="G86" s="290"/>
      <c r="H86" s="29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0"/>
      <c r="T86" s="180"/>
      <c r="U86" s="180"/>
      <c r="V86" s="180"/>
      <c r="W86" s="180"/>
      <c r="X86" s="180"/>
      <c r="Y86" s="179"/>
    </row>
    <row r="87" spans="2:25" s="5" customFormat="1" ht="12" customHeight="1">
      <c r="B87" s="178">
        <v>21030.001</v>
      </c>
      <c r="C87" s="177" t="s">
        <v>64</v>
      </c>
      <c r="D87" s="176">
        <v>0</v>
      </c>
      <c r="E87" s="174">
        <v>0</v>
      </c>
      <c r="F87" s="174"/>
      <c r="G87" s="174"/>
      <c r="H87" s="175">
        <v>0</v>
      </c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4">
        <v>0</v>
      </c>
      <c r="T87" s="174"/>
      <c r="U87" s="174">
        <v>0</v>
      </c>
      <c r="V87" s="174">
        <v>0</v>
      </c>
      <c r="W87" s="174">
        <v>1000000</v>
      </c>
      <c r="X87" s="174"/>
      <c r="Y87" s="173">
        <f>D87-S87</f>
        <v>0</v>
      </c>
    </row>
    <row r="88" spans="2:25" s="5" customFormat="1" ht="12" customHeight="1" thickBot="1">
      <c r="B88" s="172"/>
      <c r="C88" s="171" t="s">
        <v>5</v>
      </c>
      <c r="D88" s="170">
        <f>D87</f>
        <v>0</v>
      </c>
      <c r="E88" s="170">
        <f>SUM(E87)</f>
        <v>0</v>
      </c>
      <c r="F88" s="170"/>
      <c r="G88" s="170"/>
      <c r="H88" s="169">
        <f>SUM(H87)</f>
        <v>0</v>
      </c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7">
        <v>0</v>
      </c>
      <c r="T88" s="167">
        <v>0</v>
      </c>
      <c r="U88" s="167">
        <f>SUM(U87)</f>
        <v>0</v>
      </c>
      <c r="V88" s="167">
        <f>SUM(V87)</f>
        <v>0</v>
      </c>
      <c r="W88" s="167">
        <f>SUM(W87)</f>
        <v>1000000</v>
      </c>
      <c r="X88" s="167"/>
      <c r="Y88" s="166">
        <v>0</v>
      </c>
    </row>
    <row r="89" spans="2:25" s="5" customFormat="1" ht="12" customHeight="1" thickBot="1">
      <c r="B89" s="281"/>
      <c r="C89" s="282"/>
      <c r="D89" s="282"/>
      <c r="E89" s="282"/>
      <c r="F89" s="282"/>
      <c r="G89" s="282"/>
      <c r="H89" s="282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57"/>
      <c r="T89" s="57"/>
      <c r="U89" s="57"/>
      <c r="V89" s="57"/>
      <c r="W89" s="57"/>
      <c r="X89" s="57"/>
      <c r="Y89" s="70"/>
    </row>
    <row r="90" spans="2:25" s="5" customFormat="1" ht="12" customHeight="1" thickBot="1">
      <c r="B90" s="285" t="s">
        <v>21</v>
      </c>
      <c r="C90" s="286"/>
      <c r="D90" s="165">
        <f>D10+D29+D48+D58+D74+D80+D84+D88</f>
        <v>916150000</v>
      </c>
      <c r="E90" s="165">
        <f>+E88+E84+E80+E74+E58+E48+E29+E10</f>
        <v>698634134</v>
      </c>
      <c r="F90" s="165"/>
      <c r="G90" s="165"/>
      <c r="H90" s="165">
        <f>H10+H29+H48+H58+H74+H80+H84+H88</f>
        <v>56152893.4689</v>
      </c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>
        <f>S88+S84+S80+S74+S58+S48+S29+S10</f>
        <v>915152199.7272727</v>
      </c>
      <c r="T90" s="164">
        <f>+T88+T84+T80+T74+T58+T48+T29</f>
        <v>868709324</v>
      </c>
      <c r="U90" s="164">
        <f>+U88+U84+U80+U74+U58+U48+U29</f>
        <v>921836178</v>
      </c>
      <c r="V90" s="164">
        <f>+V88+V84+V80+V74+V58+V48+V29</f>
        <v>962484787</v>
      </c>
      <c r="W90" s="164">
        <f>+W88+W84+W80+W74+W58+W48+W29</f>
        <v>914939558.25</v>
      </c>
      <c r="X90" s="164"/>
      <c r="Y90" s="163">
        <f>Y88+Y84+Y80+Y74+Y58+Y48+Y29+Y10</f>
        <v>997800.2727272678</v>
      </c>
    </row>
    <row r="91" spans="2:25" s="5" customFormat="1" ht="12">
      <c r="B91" s="67"/>
      <c r="C91" s="162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9"/>
    </row>
    <row r="92" spans="2:25" s="5" customFormat="1" ht="12">
      <c r="B92" s="6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66"/>
      <c r="T92" s="66"/>
      <c r="U92" s="66"/>
      <c r="V92" s="66"/>
      <c r="W92" s="66"/>
      <c r="X92" s="66"/>
      <c r="Y92" s="69"/>
    </row>
    <row r="93" spans="2:25" s="5" customFormat="1" ht="12">
      <c r="B93" s="67"/>
      <c r="C93" s="58"/>
      <c r="D93" s="58"/>
      <c r="E93" s="58"/>
      <c r="F93" s="58"/>
      <c r="G93" s="58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66"/>
      <c r="T93" s="66"/>
      <c r="U93" s="66"/>
      <c r="V93" s="66"/>
      <c r="W93" s="66"/>
      <c r="X93" s="66"/>
      <c r="Y93" s="69"/>
    </row>
    <row r="94" spans="2:25" s="5" customFormat="1" ht="12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66"/>
      <c r="T94" s="66"/>
      <c r="U94" s="66"/>
      <c r="V94" s="66"/>
      <c r="W94" s="66"/>
      <c r="X94" s="66"/>
      <c r="Y94" s="69"/>
    </row>
    <row r="95" spans="2:25" s="5" customFormat="1" ht="12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66"/>
      <c r="T95" s="66"/>
      <c r="U95" s="66"/>
      <c r="V95" s="66"/>
      <c r="W95" s="66"/>
      <c r="X95" s="66"/>
      <c r="Y95" s="69"/>
    </row>
    <row r="96" spans="2:25" s="5" customFormat="1" ht="12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66"/>
      <c r="T96" s="66"/>
      <c r="U96" s="66"/>
      <c r="V96" s="66"/>
      <c r="W96" s="66"/>
      <c r="X96" s="66"/>
      <c r="Y96" s="69"/>
    </row>
    <row r="97" spans="2:25" s="5" customFormat="1" ht="12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66"/>
      <c r="T97" s="66"/>
      <c r="U97" s="66"/>
      <c r="V97" s="66"/>
      <c r="W97" s="66"/>
      <c r="X97" s="66"/>
      <c r="Y97" s="69"/>
    </row>
    <row r="98" spans="2:25" s="5" customFormat="1" ht="12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66"/>
      <c r="T98" s="66"/>
      <c r="U98" s="66"/>
      <c r="V98" s="66"/>
      <c r="W98" s="66"/>
      <c r="X98" s="66"/>
      <c r="Y98" s="69"/>
    </row>
    <row r="99" spans="2:25" s="5" customFormat="1" ht="12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66"/>
      <c r="T99" s="66"/>
      <c r="U99" s="66"/>
      <c r="V99" s="66"/>
      <c r="W99" s="66"/>
      <c r="X99" s="66"/>
      <c r="Y99" s="58"/>
    </row>
    <row r="100" spans="2:25" s="5" customFormat="1" ht="12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66"/>
      <c r="T100" s="66"/>
      <c r="U100" s="66"/>
      <c r="V100" s="66"/>
      <c r="W100" s="66"/>
      <c r="X100" s="66"/>
      <c r="Y100" s="58"/>
    </row>
    <row r="101" spans="2:25" s="5" customFormat="1" ht="12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66"/>
      <c r="T101" s="66"/>
      <c r="U101" s="66"/>
      <c r="V101" s="66"/>
      <c r="W101" s="66"/>
      <c r="X101" s="66"/>
      <c r="Y101" s="58"/>
    </row>
    <row r="102" spans="2:25" s="5" customFormat="1" ht="12">
      <c r="B102" s="67"/>
      <c r="C102" s="6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6"/>
      <c r="T102" s="66"/>
      <c r="U102" s="66"/>
      <c r="V102" s="66"/>
      <c r="W102" s="66"/>
      <c r="X102" s="66"/>
      <c r="Y102" s="58"/>
    </row>
    <row r="103" spans="2:25" s="5" customFormat="1" ht="12">
      <c r="B103" s="67"/>
      <c r="C103" s="6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66"/>
      <c r="T103" s="66"/>
      <c r="U103" s="66"/>
      <c r="V103" s="66"/>
      <c r="W103" s="66"/>
      <c r="X103" s="66"/>
      <c r="Y103" s="58"/>
    </row>
    <row r="104" spans="2:25" s="5" customFormat="1" ht="12">
      <c r="B104" s="67"/>
      <c r="C104" s="6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66"/>
      <c r="T104" s="66"/>
      <c r="U104" s="66"/>
      <c r="V104" s="66"/>
      <c r="W104" s="66"/>
      <c r="X104" s="66"/>
      <c r="Y104" s="58"/>
    </row>
    <row r="105" spans="2:25" s="5" customFormat="1" ht="12">
      <c r="B105" s="67"/>
      <c r="C105" s="67"/>
      <c r="D105" s="67"/>
      <c r="E105" s="67"/>
      <c r="F105" s="67"/>
      <c r="G105" s="67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66"/>
      <c r="T105" s="66"/>
      <c r="U105" s="66"/>
      <c r="V105" s="66"/>
      <c r="W105" s="66"/>
      <c r="X105" s="66"/>
      <c r="Y105" s="58"/>
    </row>
    <row r="106" spans="2:25" s="5" customFormat="1" ht="12">
      <c r="B106" s="67"/>
      <c r="C106" s="6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66"/>
      <c r="T106" s="66"/>
      <c r="U106" s="66"/>
      <c r="V106" s="66"/>
      <c r="W106" s="66"/>
      <c r="X106" s="66"/>
      <c r="Y106" s="58"/>
    </row>
    <row r="107" spans="2:25" s="5" customFormat="1" ht="12">
      <c r="B107" s="67"/>
      <c r="C107" s="67"/>
      <c r="D107" s="57"/>
      <c r="E107" s="57"/>
      <c r="F107" s="57"/>
      <c r="G107" s="5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57"/>
      <c r="T107" s="57"/>
      <c r="U107" s="57"/>
      <c r="V107" s="57"/>
      <c r="W107" s="57"/>
      <c r="X107" s="57"/>
      <c r="Y107" s="67"/>
    </row>
    <row r="108" spans="2:25" s="5" customFormat="1" ht="12">
      <c r="B108" s="67"/>
      <c r="C108" s="6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67"/>
    </row>
    <row r="109" spans="2:25" s="5" customFormat="1" ht="12">
      <c r="B109" s="67"/>
      <c r="C109" s="6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67"/>
    </row>
    <row r="110" spans="2:25" s="5" customFormat="1" ht="12">
      <c r="B110" s="67"/>
      <c r="C110" s="6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67"/>
    </row>
    <row r="111" spans="2:25" s="5" customFormat="1" ht="12">
      <c r="B111" s="67"/>
      <c r="C111" s="67"/>
      <c r="D111" s="57"/>
      <c r="E111" s="57"/>
      <c r="F111" s="57"/>
      <c r="G111" s="5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57"/>
      <c r="T111" s="57"/>
      <c r="U111" s="57"/>
      <c r="V111" s="57"/>
      <c r="W111" s="57"/>
      <c r="X111" s="57"/>
      <c r="Y111" s="67"/>
    </row>
    <row r="112" spans="2:25" s="5" customFormat="1" ht="12">
      <c r="B112" s="67"/>
      <c r="C112" s="67"/>
      <c r="D112" s="57"/>
      <c r="E112" s="57"/>
      <c r="F112" s="57"/>
      <c r="G112" s="57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57"/>
      <c r="T112" s="57"/>
      <c r="U112" s="57"/>
      <c r="V112" s="57"/>
      <c r="W112" s="57"/>
      <c r="X112" s="57"/>
      <c r="Y112" s="67"/>
    </row>
    <row r="113" spans="2:25" s="5" customFormat="1" ht="12">
      <c r="B113" s="67"/>
      <c r="C113" s="67"/>
      <c r="D113" s="57"/>
      <c r="E113" s="57"/>
      <c r="F113" s="57"/>
      <c r="G113" s="5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57"/>
      <c r="T113" s="57"/>
      <c r="U113" s="57"/>
      <c r="V113" s="57"/>
      <c r="W113" s="57"/>
      <c r="X113" s="57"/>
      <c r="Y113" s="67"/>
    </row>
    <row r="114" spans="2:25" s="5" customFormat="1" ht="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57"/>
      <c r="T114" s="57"/>
      <c r="U114" s="57"/>
      <c r="V114" s="57"/>
      <c r="W114" s="57"/>
      <c r="X114" s="57"/>
      <c r="Y114" s="67"/>
    </row>
    <row r="115" spans="2:25" s="5" customFormat="1" ht="12">
      <c r="B115" s="6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67"/>
    </row>
    <row r="116" spans="2:25" s="5" customFormat="1" ht="12">
      <c r="B116" s="6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67"/>
    </row>
    <row r="117" spans="2:25" s="5" customFormat="1" ht="12">
      <c r="B117" s="6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67"/>
    </row>
    <row r="118" spans="2:25" s="5" customFormat="1" ht="12">
      <c r="B118" s="6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67"/>
    </row>
    <row r="119" spans="2:25" s="5" customFormat="1" ht="12">
      <c r="B119" s="6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67"/>
    </row>
    <row r="120" spans="2:25" s="5" customFormat="1" ht="12">
      <c r="B120" s="6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66"/>
      <c r="T120" s="66"/>
      <c r="U120" s="66"/>
      <c r="V120" s="66"/>
      <c r="W120" s="66"/>
      <c r="X120" s="66"/>
      <c r="Y120" s="58"/>
    </row>
    <row r="121" spans="2:25" s="5" customFormat="1" ht="12">
      <c r="B121" s="67"/>
      <c r="C121" s="67"/>
      <c r="D121" s="67"/>
      <c r="E121" s="67"/>
      <c r="F121" s="67"/>
      <c r="G121" s="6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66"/>
      <c r="T121" s="66"/>
      <c r="U121" s="66"/>
      <c r="V121" s="66"/>
      <c r="W121" s="66"/>
      <c r="X121" s="66"/>
      <c r="Y121" s="58"/>
    </row>
    <row r="122" spans="2:25" s="5" customFormat="1" ht="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6"/>
      <c r="T122" s="66"/>
      <c r="U122" s="66"/>
      <c r="V122" s="66"/>
      <c r="W122" s="66"/>
      <c r="X122" s="66"/>
      <c r="Y122" s="58"/>
    </row>
    <row r="123" spans="2:25" s="5" customFormat="1" ht="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6"/>
      <c r="T123" s="66"/>
      <c r="U123" s="66"/>
      <c r="V123" s="66"/>
      <c r="W123" s="66"/>
      <c r="X123" s="66"/>
      <c r="Y123" s="58"/>
    </row>
    <row r="124" spans="2:25" s="5" customFormat="1" ht="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6"/>
      <c r="T124" s="66"/>
      <c r="U124" s="66"/>
      <c r="V124" s="66"/>
      <c r="W124" s="66"/>
      <c r="X124" s="66"/>
      <c r="Y124" s="58"/>
    </row>
    <row r="125" spans="2:25" s="5" customFormat="1" ht="1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6"/>
      <c r="T125" s="66"/>
      <c r="U125" s="66"/>
      <c r="V125" s="66"/>
      <c r="W125" s="66"/>
      <c r="X125" s="66"/>
      <c r="Y125" s="58"/>
    </row>
    <row r="126" spans="2:25" s="5" customFormat="1" ht="12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6"/>
      <c r="T126" s="66"/>
      <c r="U126" s="66"/>
      <c r="V126" s="66"/>
      <c r="W126" s="66"/>
      <c r="X126" s="66"/>
      <c r="Y126" s="58"/>
    </row>
    <row r="127" spans="2:25" s="5" customFormat="1" ht="1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6"/>
      <c r="T127" s="66"/>
      <c r="U127" s="66"/>
      <c r="V127" s="66"/>
      <c r="W127" s="66"/>
      <c r="X127" s="66"/>
      <c r="Y127" s="58"/>
    </row>
    <row r="128" spans="2:25" s="5" customFormat="1" ht="1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6"/>
      <c r="T128" s="66"/>
      <c r="U128" s="66"/>
      <c r="V128" s="66"/>
      <c r="W128" s="66"/>
      <c r="X128" s="66"/>
      <c r="Y128" s="58"/>
    </row>
    <row r="129" spans="2:25" s="5" customFormat="1" ht="1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49"/>
      <c r="T129" s="49"/>
      <c r="U129" s="49"/>
      <c r="V129" s="49"/>
      <c r="W129" s="49"/>
      <c r="X129" s="49"/>
      <c r="Y129" s="30"/>
    </row>
    <row r="130" spans="2:25" s="5" customFormat="1" ht="1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49"/>
      <c r="T130" s="49"/>
      <c r="U130" s="49"/>
      <c r="V130" s="49"/>
      <c r="W130" s="49"/>
      <c r="X130" s="49"/>
      <c r="Y130" s="30"/>
    </row>
    <row r="131" spans="2:25" s="5" customFormat="1" ht="1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49"/>
      <c r="T131" s="49"/>
      <c r="U131" s="49"/>
      <c r="V131" s="49"/>
      <c r="W131" s="49"/>
      <c r="X131" s="49"/>
      <c r="Y131" s="30"/>
    </row>
    <row r="132" spans="2:25" s="5" customFormat="1" ht="1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49"/>
      <c r="T132" s="49"/>
      <c r="U132" s="49"/>
      <c r="V132" s="49"/>
      <c r="W132" s="49"/>
      <c r="X132" s="49"/>
      <c r="Y132" s="30"/>
    </row>
    <row r="133" spans="2:25" s="5" customFormat="1" ht="1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49"/>
      <c r="T133" s="49"/>
      <c r="U133" s="49"/>
      <c r="V133" s="49"/>
      <c r="W133" s="49"/>
      <c r="X133" s="49"/>
      <c r="Y133" s="30"/>
    </row>
    <row r="134" spans="2:25" s="5" customFormat="1" ht="1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49"/>
      <c r="T134" s="49"/>
      <c r="U134" s="49"/>
      <c r="V134" s="49"/>
      <c r="W134" s="49"/>
      <c r="X134" s="49"/>
      <c r="Y134" s="30"/>
    </row>
    <row r="135" spans="2:25" s="5" customFormat="1" ht="1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49"/>
      <c r="T135" s="49"/>
      <c r="U135" s="49"/>
      <c r="V135" s="49"/>
      <c r="W135" s="49"/>
      <c r="X135" s="49"/>
      <c r="Y135" s="30"/>
    </row>
    <row r="136" spans="2:25" s="5" customFormat="1" ht="1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49"/>
      <c r="T136" s="49"/>
      <c r="U136" s="49"/>
      <c r="V136" s="49"/>
      <c r="W136" s="49"/>
      <c r="X136" s="49"/>
      <c r="Y136" s="30"/>
    </row>
    <row r="137" spans="2:25" s="5" customFormat="1" ht="1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49"/>
      <c r="T137" s="49"/>
      <c r="U137" s="49"/>
      <c r="V137" s="49"/>
      <c r="W137" s="49"/>
      <c r="X137" s="49"/>
      <c r="Y137" s="30"/>
    </row>
    <row r="138" spans="2:25" s="5" customFormat="1" ht="1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49"/>
      <c r="T138" s="49"/>
      <c r="U138" s="49"/>
      <c r="V138" s="49"/>
      <c r="W138" s="49"/>
      <c r="X138" s="49"/>
      <c r="Y138" s="30"/>
    </row>
    <row r="139" spans="2:25" s="5" customFormat="1" ht="1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49"/>
      <c r="T139" s="49"/>
      <c r="U139" s="49"/>
      <c r="V139" s="49"/>
      <c r="W139" s="49"/>
      <c r="X139" s="49"/>
      <c r="Y139" s="30"/>
    </row>
    <row r="140" spans="2:25" s="5" customFormat="1" ht="1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49"/>
      <c r="T140" s="49"/>
      <c r="U140" s="49"/>
      <c r="V140" s="49"/>
      <c r="W140" s="49"/>
      <c r="X140" s="49"/>
      <c r="Y140" s="30"/>
    </row>
    <row r="141" spans="2:25" s="5" customFormat="1" ht="1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49"/>
      <c r="T141" s="49"/>
      <c r="U141" s="49"/>
      <c r="V141" s="49"/>
      <c r="W141" s="49"/>
      <c r="X141" s="49"/>
      <c r="Y141" s="30"/>
    </row>
    <row r="142" spans="2:25" s="5" customFormat="1" ht="1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49"/>
      <c r="T142" s="49"/>
      <c r="U142" s="49"/>
      <c r="V142" s="49"/>
      <c r="W142" s="49"/>
      <c r="X142" s="49"/>
      <c r="Y142" s="30"/>
    </row>
    <row r="143" spans="2:25" s="5" customFormat="1" ht="1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49"/>
      <c r="T143" s="49"/>
      <c r="U143" s="49"/>
      <c r="V143" s="49"/>
      <c r="W143" s="49"/>
      <c r="X143" s="49"/>
      <c r="Y143" s="30"/>
    </row>
    <row r="144" spans="2:25" s="5" customFormat="1" ht="1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49"/>
      <c r="T144" s="49"/>
      <c r="U144" s="49"/>
      <c r="V144" s="49"/>
      <c r="W144" s="49"/>
      <c r="X144" s="49"/>
      <c r="Y144" s="30"/>
    </row>
    <row r="145" spans="2:25" s="5" customFormat="1" ht="1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49"/>
      <c r="T145" s="49"/>
      <c r="U145" s="49"/>
      <c r="V145" s="49"/>
      <c r="W145" s="49"/>
      <c r="X145" s="49"/>
      <c r="Y145" s="30"/>
    </row>
    <row r="146" spans="2:25" s="5" customFormat="1" ht="1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49"/>
      <c r="T146" s="49"/>
      <c r="U146" s="49"/>
      <c r="V146" s="49"/>
      <c r="W146" s="49"/>
      <c r="X146" s="49"/>
      <c r="Y146" s="30"/>
    </row>
    <row r="147" spans="2:25" s="5" customFormat="1" ht="1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49"/>
      <c r="T147" s="49"/>
      <c r="U147" s="49"/>
      <c r="V147" s="49"/>
      <c r="W147" s="49"/>
      <c r="X147" s="49"/>
      <c r="Y147" s="30"/>
    </row>
    <row r="148" spans="2:25" s="5" customFormat="1" ht="1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49"/>
      <c r="T148" s="49"/>
      <c r="U148" s="49"/>
      <c r="V148" s="49"/>
      <c r="W148" s="49"/>
      <c r="X148" s="49"/>
      <c r="Y148" s="30"/>
    </row>
    <row r="149" spans="2:25" s="5" customFormat="1" ht="1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49"/>
      <c r="T149" s="49"/>
      <c r="U149" s="49"/>
      <c r="V149" s="49"/>
      <c r="W149" s="49"/>
      <c r="X149" s="49"/>
      <c r="Y149" s="30"/>
    </row>
    <row r="150" spans="2:25" s="5" customFormat="1" ht="1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49"/>
      <c r="T150" s="49"/>
      <c r="U150" s="49"/>
      <c r="V150" s="49"/>
      <c r="W150" s="49"/>
      <c r="X150" s="49"/>
      <c r="Y150" s="30"/>
    </row>
    <row r="151" spans="2:25" s="5" customFormat="1" ht="1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49"/>
      <c r="T151" s="49"/>
      <c r="U151" s="49"/>
      <c r="V151" s="49"/>
      <c r="W151" s="49"/>
      <c r="X151" s="49"/>
      <c r="Y151" s="30"/>
    </row>
    <row r="152" spans="2:25" s="5" customFormat="1" ht="1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49"/>
      <c r="T152" s="49"/>
      <c r="U152" s="49"/>
      <c r="V152" s="49"/>
      <c r="W152" s="49"/>
      <c r="X152" s="49"/>
      <c r="Y152" s="30"/>
    </row>
    <row r="153" spans="2:25" s="5" customFormat="1" ht="1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49"/>
      <c r="T153" s="49"/>
      <c r="U153" s="49"/>
      <c r="V153" s="49"/>
      <c r="W153" s="49"/>
      <c r="X153" s="49"/>
      <c r="Y153" s="30"/>
    </row>
    <row r="154" spans="2:25" s="5" customFormat="1" ht="1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49"/>
      <c r="T154" s="49"/>
      <c r="U154" s="49"/>
      <c r="V154" s="49"/>
      <c r="W154" s="49"/>
      <c r="X154" s="49"/>
      <c r="Y154" s="30"/>
    </row>
    <row r="155" spans="2:25" s="5" customFormat="1" ht="1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49"/>
      <c r="T155" s="49"/>
      <c r="U155" s="49"/>
      <c r="V155" s="49"/>
      <c r="W155" s="49"/>
      <c r="X155" s="49"/>
      <c r="Y155" s="30"/>
    </row>
    <row r="156" spans="2:25" s="5" customFormat="1" ht="1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49"/>
      <c r="T156" s="49"/>
      <c r="U156" s="49"/>
      <c r="V156" s="49"/>
      <c r="W156" s="49"/>
      <c r="X156" s="49"/>
      <c r="Y156" s="30"/>
    </row>
    <row r="157" spans="2:25" s="5" customFormat="1" ht="1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49"/>
      <c r="T157" s="49"/>
      <c r="U157" s="49"/>
      <c r="V157" s="49"/>
      <c r="W157" s="49"/>
      <c r="X157" s="49"/>
      <c r="Y157" s="30"/>
    </row>
    <row r="158" spans="2:25" s="5" customFormat="1" ht="1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49"/>
      <c r="T158" s="49"/>
      <c r="U158" s="49"/>
      <c r="V158" s="49"/>
      <c r="W158" s="49"/>
      <c r="X158" s="49"/>
      <c r="Y158" s="30"/>
    </row>
    <row r="159" spans="2:25" s="5" customFormat="1" ht="1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49"/>
      <c r="T159" s="49"/>
      <c r="U159" s="49"/>
      <c r="V159" s="49"/>
      <c r="W159" s="49"/>
      <c r="X159" s="49"/>
      <c r="Y159" s="30"/>
    </row>
    <row r="160" spans="2:25" s="5" customFormat="1" ht="1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49"/>
      <c r="T160" s="49"/>
      <c r="U160" s="49"/>
      <c r="V160" s="49"/>
      <c r="W160" s="49"/>
      <c r="X160" s="49"/>
      <c r="Y160" s="30"/>
    </row>
    <row r="161" spans="2:25" s="5" customFormat="1" ht="1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49"/>
      <c r="T161" s="49"/>
      <c r="U161" s="49"/>
      <c r="V161" s="49"/>
      <c r="W161" s="49"/>
      <c r="X161" s="49"/>
      <c r="Y161" s="30"/>
    </row>
    <row r="162" spans="2:25" s="5" customFormat="1" ht="1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49"/>
      <c r="T162" s="49"/>
      <c r="U162" s="49"/>
      <c r="V162" s="49"/>
      <c r="W162" s="49"/>
      <c r="X162" s="49"/>
      <c r="Y162" s="30"/>
    </row>
    <row r="163" spans="2:25" s="5" customFormat="1" ht="1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49"/>
      <c r="T163" s="49"/>
      <c r="U163" s="49"/>
      <c r="V163" s="49"/>
      <c r="W163" s="49"/>
      <c r="X163" s="49"/>
      <c r="Y163" s="30"/>
    </row>
    <row r="164" spans="2:25" s="5" customFormat="1" ht="1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49"/>
      <c r="T164" s="49"/>
      <c r="U164" s="49"/>
      <c r="V164" s="49"/>
      <c r="W164" s="49"/>
      <c r="X164" s="49"/>
      <c r="Y164" s="30"/>
    </row>
    <row r="165" spans="2:25" s="5" customFormat="1" ht="1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49"/>
      <c r="T165" s="49"/>
      <c r="U165" s="49"/>
      <c r="V165" s="49"/>
      <c r="W165" s="49"/>
      <c r="X165" s="49"/>
      <c r="Y165" s="30"/>
    </row>
    <row r="166" spans="2:25" s="5" customFormat="1" ht="1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49"/>
      <c r="T166" s="49"/>
      <c r="U166" s="49"/>
      <c r="V166" s="49"/>
      <c r="W166" s="49"/>
      <c r="X166" s="49"/>
      <c r="Y166" s="30"/>
    </row>
    <row r="167" spans="2:25" s="5" customFormat="1" ht="1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49"/>
      <c r="T167" s="49"/>
      <c r="U167" s="49"/>
      <c r="V167" s="49"/>
      <c r="W167" s="49"/>
      <c r="X167" s="49"/>
      <c r="Y167" s="30"/>
    </row>
    <row r="168" spans="2:25" s="5" customFormat="1" ht="1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49"/>
      <c r="T168" s="49"/>
      <c r="U168" s="49"/>
      <c r="V168" s="49"/>
      <c r="W168" s="49"/>
      <c r="X168" s="49"/>
      <c r="Y168" s="30"/>
    </row>
    <row r="169" spans="2:25" s="5" customFormat="1" ht="1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49"/>
      <c r="T169" s="49"/>
      <c r="U169" s="49"/>
      <c r="V169" s="49"/>
      <c r="W169" s="49"/>
      <c r="X169" s="49"/>
      <c r="Y169" s="30"/>
    </row>
    <row r="170" spans="2:25" s="5" customFormat="1" ht="1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49"/>
      <c r="T170" s="49"/>
      <c r="U170" s="49"/>
      <c r="V170" s="49"/>
      <c r="W170" s="49"/>
      <c r="X170" s="49"/>
      <c r="Y170" s="30"/>
    </row>
    <row r="171" spans="2:25" s="5" customFormat="1" ht="1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49"/>
      <c r="T171" s="49"/>
      <c r="U171" s="49"/>
      <c r="V171" s="49"/>
      <c r="W171" s="49"/>
      <c r="X171" s="49"/>
      <c r="Y171" s="30"/>
    </row>
    <row r="172" spans="2:25" s="5" customFormat="1" ht="1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49"/>
      <c r="T172" s="49"/>
      <c r="U172" s="49"/>
      <c r="V172" s="49"/>
      <c r="W172" s="49"/>
      <c r="X172" s="49"/>
      <c r="Y172" s="30"/>
    </row>
    <row r="173" spans="2:25" s="5" customFormat="1" ht="1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49"/>
      <c r="T173" s="49"/>
      <c r="U173" s="49"/>
      <c r="V173" s="49"/>
      <c r="W173" s="49"/>
      <c r="X173" s="49"/>
      <c r="Y173" s="30"/>
    </row>
    <row r="174" spans="2:25" s="5" customFormat="1" ht="1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49"/>
      <c r="T174" s="49"/>
      <c r="U174" s="49"/>
      <c r="V174" s="49"/>
      <c r="W174" s="49"/>
      <c r="X174" s="49"/>
      <c r="Y174" s="30"/>
    </row>
    <row r="175" spans="2:25" ht="12.7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49"/>
      <c r="T175" s="49"/>
      <c r="U175" s="49"/>
      <c r="V175" s="49"/>
      <c r="W175" s="49"/>
      <c r="X175" s="49"/>
      <c r="Y175" s="30"/>
    </row>
    <row r="176" spans="2:25" ht="12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49"/>
      <c r="T176" s="49"/>
      <c r="U176" s="49"/>
      <c r="V176" s="49"/>
      <c r="W176" s="49"/>
      <c r="X176" s="49"/>
      <c r="Y176" s="30"/>
    </row>
    <row r="177" spans="2:25" ht="12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49"/>
      <c r="T177" s="49"/>
      <c r="U177" s="49"/>
      <c r="V177" s="49"/>
      <c r="W177" s="49"/>
      <c r="X177" s="49"/>
      <c r="Y177" s="30"/>
    </row>
    <row r="178" spans="2:25" ht="12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49"/>
      <c r="T178" s="49"/>
      <c r="U178" s="49"/>
      <c r="V178" s="49"/>
      <c r="W178" s="49"/>
      <c r="X178" s="49"/>
      <c r="Y178" s="30"/>
    </row>
    <row r="179" spans="2:25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49"/>
      <c r="T179" s="49"/>
      <c r="U179" s="49"/>
      <c r="V179" s="49"/>
      <c r="W179" s="49"/>
      <c r="X179" s="49"/>
      <c r="Y179" s="30"/>
    </row>
    <row r="180" spans="2:25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49"/>
      <c r="T180" s="49"/>
      <c r="U180" s="49"/>
      <c r="V180" s="49"/>
      <c r="W180" s="49"/>
      <c r="X180" s="49"/>
      <c r="Y180" s="30"/>
    </row>
    <row r="181" spans="2:25" ht="12.7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49"/>
      <c r="T181" s="49"/>
      <c r="U181" s="49"/>
      <c r="V181" s="49"/>
      <c r="W181" s="49"/>
      <c r="X181" s="49"/>
      <c r="Y181" s="30"/>
    </row>
    <row r="182" spans="2:25" ht="12.7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49"/>
      <c r="T182" s="49"/>
      <c r="U182" s="49"/>
      <c r="V182" s="49"/>
      <c r="W182" s="49"/>
      <c r="X182" s="49"/>
      <c r="Y182" s="30"/>
    </row>
    <row r="183" spans="2:25" ht="12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49"/>
      <c r="T183" s="49"/>
      <c r="U183" s="49"/>
      <c r="V183" s="49"/>
      <c r="W183" s="49"/>
      <c r="X183" s="49"/>
      <c r="Y183" s="30"/>
    </row>
    <row r="184" spans="2:25" ht="12.7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49"/>
      <c r="T184" s="49"/>
      <c r="U184" s="49"/>
      <c r="V184" s="49"/>
      <c r="W184" s="49"/>
      <c r="X184" s="49"/>
      <c r="Y184" s="30"/>
    </row>
    <row r="185" spans="2:25" ht="12.7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49"/>
      <c r="T185" s="49"/>
      <c r="U185" s="49"/>
      <c r="V185" s="49"/>
      <c r="W185" s="49"/>
      <c r="X185" s="49"/>
      <c r="Y185" s="30"/>
    </row>
    <row r="186" spans="2:25" ht="12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49"/>
      <c r="T186" s="49"/>
      <c r="U186" s="49"/>
      <c r="V186" s="49"/>
      <c r="W186" s="49"/>
      <c r="X186" s="49"/>
      <c r="Y186" s="30"/>
    </row>
    <row r="187" spans="2:25" ht="12.7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49"/>
      <c r="T187" s="49"/>
      <c r="U187" s="49"/>
      <c r="V187" s="49"/>
      <c r="W187" s="49"/>
      <c r="X187" s="49"/>
      <c r="Y187" s="30"/>
    </row>
    <row r="188" spans="2:25" ht="12.7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49"/>
      <c r="T188" s="49"/>
      <c r="U188" s="49"/>
      <c r="V188" s="49"/>
      <c r="W188" s="49"/>
      <c r="X188" s="49"/>
      <c r="Y188" s="30"/>
    </row>
    <row r="189" spans="2:25" ht="12.7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49"/>
      <c r="T189" s="49"/>
      <c r="U189" s="49"/>
      <c r="V189" s="49"/>
      <c r="W189" s="49"/>
      <c r="X189" s="49"/>
      <c r="Y189" s="30"/>
    </row>
    <row r="190" spans="2:25" ht="12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49"/>
      <c r="T190" s="49"/>
      <c r="U190" s="49"/>
      <c r="V190" s="49"/>
      <c r="W190" s="49"/>
      <c r="X190" s="49"/>
      <c r="Y190" s="30"/>
    </row>
    <row r="191" spans="2:25" ht="12.75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43"/>
      <c r="T191" s="43"/>
      <c r="U191" s="43"/>
      <c r="V191" s="43"/>
      <c r="W191" s="43"/>
      <c r="X191" s="43"/>
      <c r="Y191" s="39"/>
    </row>
    <row r="192" spans="2:25" ht="12.75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43"/>
      <c r="T192" s="43"/>
      <c r="U192" s="43"/>
      <c r="V192" s="43"/>
      <c r="W192" s="43"/>
      <c r="X192" s="43"/>
      <c r="Y192" s="39"/>
    </row>
    <row r="193" spans="2:18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2:18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2:18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2:18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2:18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2:18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2:18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2:18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2:18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2:18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2:18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2:18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2:18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2:18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2:18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2:18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2:18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2:18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2:18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2:18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2:18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2:18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2:18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2:18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2:18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2:18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2:18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2:18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2:18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2:18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2:18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2:18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2:18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2:18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2:18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2:18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2:18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2:18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2:18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2:18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2:18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2:18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2:18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2:18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2:18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2:18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2:18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2:18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2:18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2:18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2:18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2:18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2:18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2:18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2:18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2:18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2:18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2:18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2:18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2:18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2:18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2:18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2:18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2:18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2:18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2:18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2:18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2:18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2:18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2:18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2:18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2:18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2:18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2:18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2:18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2:18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2:18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2:18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2:18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2:18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2:18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2:18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2:18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2:18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2:18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2:18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2:18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2:18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2:18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2:18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2:18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2:18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2:18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2:18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2:18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2:18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2:18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2:18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2:18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2:18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2:18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2:18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2:18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2:18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2:18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2:18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2:18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2:18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2:18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2:18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2:18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2:18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2:18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2:18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2:18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2:18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2:18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2:18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2:18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2:18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2:18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2:18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2:18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2:18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2:18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2:18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2:18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2:18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2:18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2:18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2:18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2:18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2:18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2:18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2:18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2:18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2:18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2:18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2:18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2:18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2:18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2:18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2:18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2:18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2:18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2:18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2:18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2:18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2:18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2:18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2:18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2:18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2:18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2:18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2:18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2:18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2:18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2:18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2:18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2:18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2:18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2:18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2:18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2:18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2:18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2:18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2:18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2:18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2:18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2:18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2:18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2:18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2:18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2:18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2:18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2:18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2:18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2:18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2:18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2:18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2:18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2:18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2:18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2:18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2:18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2:18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2:18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2:18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2:18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2:18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2:18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2:18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2:18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2:18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2:18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2:18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2:18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2:18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2:18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2:18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2:18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2:18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2:18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2:18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2:18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2:18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2:18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2:18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2:18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2:18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2:18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2:18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2:18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2:18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2:18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2:18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2:18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2:18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2:18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2:18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2:18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2:18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2:18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2:18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2:18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2:18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2:18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2:18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2:18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2:18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2:18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2:18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2:18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2:18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2:18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2:18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2:18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2:18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2:18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2:18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2:18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2:18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2:18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2:18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2:18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2:18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2:18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2:18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2:18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2:18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2:18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2:18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2:18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2:18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2:18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2:18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2:18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2:18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2:18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2:18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2:18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2:18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2:18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2:18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2:18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2:18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2:18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2:18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2:18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2:18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2:18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2:18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2:18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2:18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2:18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2:18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2:18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2:18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2:18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2:18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2:18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2:18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2:18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2:18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2:18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2:18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2:18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2:18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2:18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2:18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2:18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2:18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2:18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2:18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2:18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2:18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2:18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2:18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2:18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2:18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2:18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2:18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2:18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2:18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2:18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2:18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2:18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2:18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2:18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2:18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2:18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2:18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2:18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2:18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2:18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2:18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2:18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2:18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2:18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2:18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2:18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2:18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2:18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2:18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2:18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2:18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2:18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2:18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2:18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2:18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2:18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2:18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2:18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2:18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2:18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2:18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2:18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2:18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2:18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2:18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2:18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2:18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2:18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2:18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2:18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2:18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2:18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2:18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2:18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2:18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2:18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2:18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2:18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2:18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2:18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2:18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2:18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2:18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2:18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2:18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2:18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2:18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2:18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2:18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2:18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2:18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2:18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2:18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2:18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2:18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2:18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2:18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2:18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2:18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2:18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2:18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2:18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2:18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2:18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2:18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2:18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2:18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2:18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2:18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2:18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2:18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2:18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2:18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2:18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2:18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2:18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2:18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2:18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2:18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2:18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2:18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2:18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2:18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2:18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2:18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2:18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2:18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2:18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2:18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2:18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2:18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2:18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2:18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2:18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2:18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2:18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2:18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2:18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2:18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2:18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2:18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2:18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2:18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2:18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2:18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2:18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2:18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2:18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2:18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2:18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2:18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2:18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2:18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2:18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2:18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2:18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2:18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2:18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2:18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2:18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2:18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2:18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2:18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2:18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2:18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2:18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2:18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2:18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2:18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2:18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2:18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2:18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2:18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2:18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2:18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2:18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2:18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2:18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2:18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2:18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2:18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2:18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2:18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2:18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2:18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2:18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2:18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2:18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2:18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2:18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2:18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2:18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2:18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2:18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2:18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2:18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2:18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2:18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2:18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2:18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2:18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2:18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2:18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2:18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2:18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2:18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2:18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2:18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2:18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2:18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2:18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2:18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2:18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2:18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2:18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2:18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2:18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2:18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2:18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2:18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2:18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2:18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2:18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2:18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2:18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2:18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2:18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2:18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2:18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2:18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2:18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2:18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2:18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2:18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2:18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2:18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2:18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2:18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2:18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2:18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2:18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2:18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2:18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2:18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2:18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2:18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2:18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2:18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2:18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2:18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2:18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2:18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2:18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2:18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2:18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2:18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2:18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2:18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2:18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2:18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2:18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2:18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2:18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2:18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2:18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2:18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2:18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2:18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2:18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2:18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2:18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2:18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2:18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2:18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2:18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2:18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2:18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2:18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2:18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2:18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2:18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2:18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2:18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2:18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2:18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2:18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2:18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2:18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2:18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2:18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2:18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2:18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2:18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2:18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2:18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2:18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2:18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2:18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2:18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2:18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2:18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2:18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2:18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2:18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2:18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2:18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2:18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2:18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2:18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2:18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2:18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2:18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2:18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2:18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2:18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2:18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2:18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2:18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2:18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2:18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2:18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2:18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2:18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2:18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2:18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2:18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2:18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2:18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2:18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2:18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2:18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2:18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2:18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2:18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2:18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2:18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2:18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2:18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2:18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2:18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2:18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2:18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2:18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2:18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2:18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2:18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2:18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2:18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2:18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2:18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2:18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2:18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2:18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2:18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2:18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2:18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2:18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2:18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2:18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2:18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2:18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2:18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2:18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2:18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2:18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2:18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2:18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2:18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2:18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2:18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2:18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2:18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2:18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2:18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2:18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2:18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2:18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2:18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2:18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2:18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2:18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2:18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2:18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2:18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2:18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2:18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2:18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2:18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2:18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2:18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2:18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2:18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2:18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2:18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2:18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2:18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2:18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2:18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2:18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2:18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2:18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2:18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2:18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2:18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2:18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2:18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2:18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2:18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2:18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2:18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2:18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2:18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2:18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2:18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2:18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2:18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2:18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2:18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2:18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2:18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2:18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2:18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2:18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2:18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2:18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2:18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2:18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2:18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2:18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2:18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2:18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2:18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2:18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2:18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2:18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2:18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2:18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2:18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2:18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2:18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2:18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2:18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2:18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2:18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2:18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2:18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2:18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2:18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2:18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2:18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2:18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2:18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2:18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2:18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2:18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2:18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2:18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2:18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2:18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2:18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2:18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2:18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2:18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2:18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2:18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2:18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2:18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2:18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2:18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2:18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2:18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2:18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2:18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2:18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2:18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2:18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2:18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2:18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2:18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2:18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2:18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2:18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2:18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2:18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2:18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2:18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2:18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2:18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2:18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2:18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2:18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2:18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2:18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2:18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2:18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2:18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2:18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2:18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2:18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2:18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2:18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2:18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2:18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2:18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2:18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2:18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2:18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2:18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2:18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2:18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2:18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2:18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2:18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2:18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2:18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2:18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2:18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2:18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2:18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2:18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2:18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2:18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2:18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2:18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2:18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2:18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2:18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2:18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2:18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2:18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2:18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2:18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2:18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2:18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2:18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2:18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2:18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2:18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2:18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2:18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2:18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2:18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2:18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2:18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2:18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2:18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2:18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2:18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2:18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2:18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2:18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2:18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2:18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2:18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2:18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2:18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2:18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2:18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2:18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2:18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2:18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2:18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2:18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2:18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2:18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2:18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2:18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2:18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2:18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2:18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2:18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2:18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2:18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2:18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2:18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2:18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2:18" ht="12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2:18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2:18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2:18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2:18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2:18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2:18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2:18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2:18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2:18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2:18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2:18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2:18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2:18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2:18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2:18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2:18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2:18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2:18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2:18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2:18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2:18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2:18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2:18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2:18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2:18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2:18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2:18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2:18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2:18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2:18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2:18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2:18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2:18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2:18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2:18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2:18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2:18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2:18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2:18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2:18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2:18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2:18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2:18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2:18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2:18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2:18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2:18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2:18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2:18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2:18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2:18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2:18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2:18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2:18" ht="12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2:18" ht="12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2:18" ht="12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2:18" ht="12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2:18" ht="12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2:18" ht="12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2:18" ht="12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2:18" ht="12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2:18" ht="12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2:18" ht="12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2:18" ht="12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2:18" ht="12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2:18" ht="12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2:18" ht="12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2:18" ht="12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2:18" ht="12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2:18" ht="12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2:18" ht="12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2:18" ht="12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2:18" ht="12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2:18" ht="12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2:18" ht="12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2:18" ht="12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2:18" ht="12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2:18" ht="12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2:18" ht="12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2:18" ht="12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2:18" ht="12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2:18" ht="12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2:18" ht="12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2:18" ht="12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2:18" ht="12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2:18" ht="12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2:18" ht="12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2:18" ht="12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2:18" ht="12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2:18" ht="12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2:18" ht="12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2:18" ht="12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2:18" ht="12.7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2:18" ht="12.7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2:18" ht="12.7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2:18" ht="12.7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2:18" ht="12.7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2:18" ht="12.7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2:18" ht="12.7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2:18" ht="12.7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2:18" ht="12.7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2:18" ht="12.7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2:18" ht="12.7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2:18" ht="12.7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2:18" ht="12.7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2:18" ht="12.7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2:18" ht="12.7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2:18" ht="12.7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2:18" ht="12.7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2:18" ht="12.7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2:18" ht="12.7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2:18" ht="12.7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2:18" ht="12.7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2:18" ht="12.7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2:18" ht="12.7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2:18" ht="12.7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2:18" ht="12.7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2:18" ht="12.7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2:18" ht="12.7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2:18" ht="12.7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2:18" ht="12.7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2:18" ht="12.7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2:18" ht="12.7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2:18" ht="12.7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2:18" ht="12.7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2:18" ht="12.7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2:18" ht="12.7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2:18" ht="12.7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2:18" ht="12.7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2:18" ht="12.7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2:18" ht="12.7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2:18" ht="12.7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2:18" ht="12.7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2:18" ht="12.7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2:18" ht="12.7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2:18" ht="12.7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2:18" ht="12.7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2:18" ht="12.7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2:18" ht="12.7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2:18" ht="12.7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2:18" ht="12.7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2:18" ht="12.7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2:18" ht="12.7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2:18" ht="12.7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2:18" ht="12.7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2:18" ht="12.7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2:18" ht="12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2:18" ht="12.7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2:18" ht="12.7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2:18" ht="12.7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2:18" ht="12.7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2:18" ht="12.7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2:18" ht="12.7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2:18" ht="12.7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2:18" ht="12.7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2:18" ht="12.7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2:18" ht="12.7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2:18" ht="12.7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2:18" ht="12.7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2:18" ht="12.7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2:18" ht="12.7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2:18" ht="12.7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2:18" ht="12.7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2:18" ht="12.7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2:18" ht="12.7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2:18" ht="12.7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2:18" ht="12.7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2:18" ht="12.7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2:18" ht="12.7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2:18" ht="12.7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2:18" ht="12.7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2:18" ht="12.7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2:18" ht="12.7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2:18" ht="12.7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2:18" ht="12.7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2:18" ht="12.7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2:18" ht="12.7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2:18" ht="12.7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2:18" ht="12.7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2:18" ht="12.7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2:18" ht="12.7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2:18" ht="12.7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2:18" ht="12.7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2:18" ht="12.7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2:18" ht="12.7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2:18" ht="12.7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2:18" ht="12.7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2:18" ht="12.7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2:18" ht="12.7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2:18" ht="12.7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2:18" ht="12.7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2:18" ht="12.7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2:18" ht="12.7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2:18" ht="12.7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2:18" ht="12.7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2:18" ht="12.7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2:18" ht="12.7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2:18" ht="12.7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2:18" ht="12.7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2:18" ht="12.7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2:18" ht="12.7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2:18" ht="12.7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2:18" ht="12.7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2:18" ht="12.7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2:18" ht="12.7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2:18" ht="12.7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2:18" ht="12.7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2:18" ht="12.7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2:18" ht="12.7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2:18" ht="12.7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2:18" ht="12.7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2:18" ht="12.7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2:18" ht="12.7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2:18" ht="12.7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2:18" ht="12.7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2:18" ht="12.7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2:18" ht="12.7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2:18" ht="12.7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2:18" ht="12.7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2:18" ht="12.7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2:18" ht="12.7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2:18" ht="12.7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2:18" ht="12.7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2:18" ht="12.7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2:18" ht="12.7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2:18" ht="12.7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2:18" ht="12.7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2:18" ht="12.7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2:18" ht="12.7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2:18" ht="12.7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2:18" ht="12.7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2:18" ht="12.7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2:18" ht="12.7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2:18" ht="12.7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2:18" ht="12.7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2:18" ht="12.7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2:18" ht="12.7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2:18" ht="12.7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2:18" ht="12.7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2:18" ht="12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2:18" ht="12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2:18" ht="12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2:18" ht="12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2:18" ht="12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2:18" ht="12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2:18" ht="12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2:18" ht="12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2:18" ht="12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2:18" ht="12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2:18" ht="12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2:18" ht="12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2:18" ht="12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2:18" ht="12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2:18" ht="12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2:18" ht="12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2:18" ht="12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2:18" ht="12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2:18" ht="12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2:18" ht="12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2:18" ht="12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2:18" ht="12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2:18" ht="12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2:18" ht="12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2:18" ht="12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2:18" ht="12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2:18" ht="12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2:18" ht="12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2:18" ht="12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2:18" ht="12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2:18" ht="12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2:18" ht="12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2:18" ht="12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2:18" ht="12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2:18" ht="12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2:18" ht="12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2:18" ht="12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2:18" ht="12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2:18" ht="12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2:18" ht="12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2:18" ht="12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2:18" ht="12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2:18" ht="12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2:18" ht="12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2:18" ht="12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2:18" ht="12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2:18" ht="12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2:18" ht="12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2:18" ht="12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2:18" ht="12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2:18" ht="12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2:18" ht="12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2:18" ht="12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2:18" ht="12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2:18" ht="12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2:18" ht="12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2:18" ht="12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2:18" ht="12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2:18" ht="12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2:18" ht="12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2:18" ht="12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2:18" ht="12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2:18" ht="12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2:18" ht="12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2:18" ht="12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2:18" ht="12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2:18" ht="12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2:18" ht="12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2:18" ht="12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2:18" ht="12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2:18" ht="12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2:18" ht="12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2:18" ht="12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2:18" ht="12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2:18" ht="12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2:18" ht="12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2:18" ht="12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2:18" ht="12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2:18" ht="12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2:18" ht="12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2:18" ht="12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2:18" ht="12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2:18" ht="12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2:18" ht="12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2:18" ht="12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2:18" ht="12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2:18" ht="12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2:18" ht="12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2:18" ht="12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2:18" ht="12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2:18" ht="12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2:18" ht="12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2:18" ht="12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2:18" ht="12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2:18" ht="12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2:18" ht="12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2:18" ht="12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2:18" ht="12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2:18" ht="12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2:18" ht="12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2:18" ht="12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2:18" ht="12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2:18" ht="12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2:18" ht="12.75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2:18" ht="12.75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2:18" ht="12.75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2:18" ht="12.75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2:18" ht="12.75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2:18" ht="12.75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2:18" ht="12.75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2:18" ht="12.75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2:18" ht="12.75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2:18" ht="12.75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2:18" ht="12.75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2:18" ht="12.75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2:18" ht="12.75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2:18" ht="12.75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2:18" ht="12.75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2:18" ht="12.75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2:18" ht="12.75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2:18" ht="12.75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2:18" ht="12.75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2:18" ht="12.75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2:18" ht="12.75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2:18" ht="12.75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2:18" ht="12.75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2:18" ht="12.75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2:18" ht="12.75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2:18" ht="12.75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2:18" ht="12.75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2:18" ht="12.75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2:18" ht="12.75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2:18" ht="12.75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2:18" ht="12.75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2:18" ht="12.75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2:18" ht="12.75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2:18" ht="12.75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2:18" ht="12.75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2:18" ht="12.75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2:18" ht="12.75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2:18" ht="12.7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2:18" ht="12.75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2:18" ht="12.75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2:18" ht="12.75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2:18" ht="12.75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2:18" ht="12.75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2:18" ht="12.75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2:18" ht="12.7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2:18" ht="12.75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2:18" ht="12.75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2:18" ht="12.75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2:18" ht="12.75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2:18" ht="12.75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2:18" ht="12.75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2:18" ht="12.75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2:18" ht="12.75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2:18" ht="12.75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2:18" ht="12.75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2:18" ht="12.75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2:18" ht="12.75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2:18" ht="12.75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2:18" ht="12.75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2:18" ht="12.75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2:18" ht="12.75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2:18" ht="12.75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2:18" ht="12.75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2:18" ht="12.75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2:18" ht="12.75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2:18" ht="12.75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2:18" ht="12.75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2:18" ht="12.75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2:18" ht="12.75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2:18" ht="12.75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2:18" ht="12.75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2:18" ht="12.75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2:18" ht="12.7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2:18" ht="12.75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2:18" ht="12.75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2:18" ht="12.75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2:18" ht="12.75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2:18" ht="12.75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2:18" ht="12.75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2:18" ht="12.75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2:18" ht="12.75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2:18" ht="12.75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2:18" ht="12.75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2:18" ht="12.75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2:18" ht="12.75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2:18" ht="12.75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2:18" ht="12.75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2:18" ht="12.75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2:18" ht="12.75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2:18" ht="12.75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2:18" ht="12.75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2:18" ht="12.75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2:18" ht="12.75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2:18" ht="12.7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2:18" ht="12.75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2:18" ht="12.75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2:18" ht="12.75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2:18" ht="12.75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2:18" ht="12.75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2:18" ht="12.75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2:18" ht="12.75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2:18" ht="12.75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2:18" ht="12.75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2:18" ht="12.75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2:18" ht="12.75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2:18" ht="12.75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2:18" ht="12.75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2:18" ht="12.75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2:18" ht="12.75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2:18" ht="12.75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2:18" ht="12.75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2:18" ht="12.75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2:18" ht="12.75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2:18" ht="12.75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2:18" ht="12.75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2:18" ht="12.75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2:18" ht="12.75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2:18" ht="12.75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2:18" ht="12.75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2:18" ht="12.75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2:18" ht="12.75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2:18" ht="12.75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2:18" ht="12.75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2:18" ht="12.75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2:18" ht="12.75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2:18" ht="12.75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2:18" ht="12.75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2:18" ht="12.75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2:18" ht="12.7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2:18" ht="12.75"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2:18" ht="12.75"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2:18" ht="12.75"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2:18" ht="12.75"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2:18" ht="12.75"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2:18" ht="12.75"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2:18" ht="12.75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2:18" ht="12.75"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2:18" ht="12.75"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2:18" ht="12.75"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2:18" ht="12.75"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2:18" ht="12.75"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2:18" ht="12.75"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2:18" ht="12.75"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2:18" ht="12.75"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2:18" ht="12.75"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2:18" ht="12.75"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2:18" ht="12.75"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2:18" ht="12.75"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2:18" ht="12.75"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2:18" ht="12.75"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2:18" ht="12.75"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2:18" ht="12.75"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2:18" ht="12.75"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2:18" ht="12.75"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2:18" ht="12.75"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2:18" ht="12.75"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2:18" ht="12.75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2:18" ht="12.75"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2:18" ht="12.75"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2:18" ht="12.75"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2:18" ht="12.75"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2:18" ht="12.75"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2:18" ht="12.75"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2:18" ht="12.75"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2:18" ht="12.75"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2:18" ht="12.75"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2:18" ht="12.75"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2:18" ht="12.75"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2:18" ht="12.75"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2:18" ht="12.75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2:18" ht="12.75"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2:18" ht="12.75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2:18" ht="12.75"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2:18" ht="12.75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2:18" ht="12.75"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2:18" ht="12.75"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2:18" ht="12.75"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2:18" ht="12.75"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2:18" ht="12.75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2:18" ht="12.75"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2:18" ht="12.75"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2:18" ht="12.75"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2:18" ht="12.75"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2:18" ht="12.75"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2:18" ht="12.75"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2:18" ht="12.75"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2:18" ht="12.75"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2:18" ht="12.75"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2:18" ht="12.75"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2:18" ht="12.75"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2:18" ht="12.75"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2:18" ht="12.75"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2:18" ht="12.75"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2:18" ht="12.75"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2:18" ht="12.75"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2:18" ht="12.75"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2:18" ht="12.75"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2:18" ht="12.75"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2:18" ht="12.75"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2:18" ht="12.75"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2:18" ht="12.75"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2:18" ht="12.75"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2:18" ht="12.75"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2:18" ht="12.75"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2:18" ht="12.75"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2:18" ht="12.75"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2:18" ht="12.75"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2:18" ht="12.75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2:18" ht="12.75"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2:18" ht="12.75"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2:18" ht="12.75"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2:18" ht="12.75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2:18" ht="12.75"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2:18" ht="12.75"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2:18" ht="12.75"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2:18" ht="12.75"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2:18" ht="12.75"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2:18" ht="12.75"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2:18" ht="12.75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2:18" ht="12.75"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2:18" ht="12.75"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2:18" ht="12.75"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2:18" ht="12.75"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2:18" ht="12.75"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2:18" ht="12.75"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2:18" ht="12.75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2:18" ht="12.75"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2:18" ht="12.75"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2:18" ht="12.75"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2:18" ht="12.75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2:18" ht="12.75"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2:18" ht="12.75"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2:18" ht="12.75"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2:18" ht="12.75"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2:18" ht="12.75"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2:18" ht="12.75"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2:18" ht="12.75"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2:18" ht="12.75"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2:18" ht="12.75"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2:18" ht="12.75"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2:18" ht="12.75"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2:18" ht="12.75"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2:18" ht="12.75"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2:18" ht="12.75"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2:18" ht="12.75"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2:18" ht="12.75"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2:18" ht="12.75"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2:18" ht="12.75"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2:18" ht="12.75"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2:18" ht="12.75"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2:18" ht="12.75"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2:18" ht="12.75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2:18" ht="12.75"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2:18" ht="12.75"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2:18" ht="12.75"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2:18" ht="12.75"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2:18" ht="12.75"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2:18" ht="12.75"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2:18" ht="12.75"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2:18" ht="12.75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2:18" ht="12.75"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2:18" ht="12.75"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2:18" ht="12.75"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2:18" ht="12.75"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2:18" ht="12.75"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2:18" ht="12.75"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2:18" ht="12.75"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2:18" ht="12.75"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2:18" ht="12.75"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2:18" ht="12.75"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2:18" ht="12.75"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2:18" ht="12.75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2:18" ht="12.75"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2:18" ht="12.75"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2:18" ht="12.75"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2:18" ht="12.75"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2:18" ht="12.75"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2:18" ht="12.75"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2:18" ht="12.75"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2:18" ht="12.75"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2:18" ht="12.75"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2:18" ht="12.75"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2:18" ht="12.75"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2:18" ht="12.75"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2:18" ht="12.75"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2:18" ht="12.75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2:18" ht="12.75"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2:18" ht="12.75"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2:18" ht="12.75"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2:18" ht="12.75"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2:18" ht="12.75"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2:18" ht="12.75"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2:18" ht="12.75"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2:18" ht="12.75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2:18" ht="12.75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2:18" ht="12.75"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2:18" ht="12.75"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2:18" ht="12.75"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2:18" ht="12.75"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2:18" ht="12.75"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2:18" ht="12.75"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2:18" ht="12.75"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2:18" ht="12.75"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2:18" ht="12.75"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2:18" ht="12.75"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2:18" ht="12.75"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2:18" ht="12.75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2:18" ht="12.75"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2:18" ht="12.75"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2:18" ht="12.75"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2:18" ht="12.75"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2:18" ht="12.75"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2:18" ht="12.75"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2:18" ht="12.75"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2:18" ht="12.75"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2:18" ht="12.75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2:18" ht="12.75"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2:18" ht="12.75"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2:18" ht="12.75"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2:18" ht="12.75"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2:18" ht="12.75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2:18" ht="12.75"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2:18" ht="12.75"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2:18" ht="12.75"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2:18" ht="12.75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2:18" ht="12.75"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2:18" ht="12.75"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2:18" ht="12.75"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2:18" ht="12.75"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2:18" ht="12.75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2:18" ht="12.75"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2:18" ht="12.75"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2:18" ht="12.75"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2:18" ht="12.75"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2:18" ht="12.75"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2:18" ht="12.75"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2:18" ht="12.75"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2:18" ht="12.75"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2:18" ht="12.75"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2:18" ht="12.75"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2:18" ht="12.75"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2:18" ht="12.75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2:18" ht="12.75"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2:18" ht="12.75"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2:18" ht="12.75"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2:18" ht="12.75"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2:18" ht="12.75"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2:18" ht="12.75"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2:18" ht="12.75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2:18" ht="12.75"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2:18" ht="12.75"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2:18" ht="12.75"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2:18" ht="12.75"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2:18" ht="12.75"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2:18" ht="12.75"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2:18" ht="12.75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2:18" ht="12.75"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2:18" ht="12.75"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2:18" ht="12.75"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2:18" ht="12.75"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2:18" ht="12.75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2:18" ht="12.75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2:18" ht="12.75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2:18" ht="12.75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2:18" ht="12.75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2:18" ht="12.75"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2:18" ht="12.75"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2:18" ht="12.75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2:18" ht="12.75"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2:18" ht="12.75"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2:18" ht="12.75"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2:18" ht="12.75"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2:18" ht="12.75"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2:18" ht="12.75"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2:18" ht="12.75"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2:18" ht="12.75"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2:18" ht="12.75"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2:18" ht="12.75"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2:18" ht="12.75"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2:18" ht="12.75"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2:18" ht="12.75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2:18" ht="12.75"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2:18" ht="12.75"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2:18" ht="12.75"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2:18" ht="12.75"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2:18" ht="12.75"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2:18" ht="12.75"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2:18" ht="12.75"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2:18" ht="12.75"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2:18" ht="12.75"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2:18" ht="12.75"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2:18" ht="12.75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2:18" ht="12.75"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2:18" ht="12.75"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2:18" ht="12.75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2:18" ht="12.75"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2:18" ht="12.75"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2:18" ht="12.75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2:18" ht="12.75"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2:18" ht="12.75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2:18" ht="12.75"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2:18" ht="12.75"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2:18" ht="12.75"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2:18" ht="12.75"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2:18" ht="12.75"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2:18" ht="12.75"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2:18" ht="12.75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2:18" ht="12.75"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2:18" ht="12.75"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2:18" ht="12.75"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2:18" ht="12.75"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2:18" ht="12.75"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2:18" ht="12.75"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2:18" ht="12.75"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2:18" ht="12.75"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2:18" ht="12.75"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2:18" ht="12.75"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2:18" ht="12.75"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2:18" ht="12.75"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2:18" ht="12.75"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2:18" ht="12.75"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2:18" ht="12.75"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2:18" ht="12.75"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2:18" ht="12.75"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2:18" ht="12.75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2:18" ht="12.75"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2:18" ht="12.75"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2:18" ht="12.75"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2:18" ht="12.75"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2:18" ht="12.75"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2:18" ht="12.75"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2:18" ht="12.75"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2:18" ht="12.75"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2:18" ht="12.75"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2:18" ht="12.75"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2:18" ht="12.75"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2:18" ht="12.75"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2:18" ht="12.75"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2:18" ht="12.75"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2:18" ht="12.75"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2:18" ht="12.75"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2:18" ht="12.75"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2:18" ht="12.75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2:18" ht="12.75"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2:18" ht="12.75"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2:18" ht="12.75"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2:18" ht="12.75"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2:18" ht="12.75"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2:18" ht="12.75"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2:18" ht="12.75"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2:18" ht="12.75"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2:18" ht="12.75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2:18" ht="12.75"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2:18" ht="12.75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2:18" ht="12.75"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2:18" ht="12.75"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2:18" ht="12.75"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2:18" ht="12.75"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2:18" ht="12.75"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2:18" ht="12.75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2:18" ht="12.75"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2:18" ht="12.75"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2:18" ht="12.75"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2:18" ht="12.75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2:18" ht="12.75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2:18" ht="12.75"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2:18" ht="12.75"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2:18" ht="12.75"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2:18" ht="12.75"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2:18" ht="12.75"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2:18" ht="12.75"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2:18" ht="12.75"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2:18" ht="12.75"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2:18" ht="12.75"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2:18" ht="12.75"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2:18" ht="12.75"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2:18" ht="12.75"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2:18" ht="12.75"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2:18" ht="12.75"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2:18" ht="12.75"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2:18" ht="12.75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2:18" ht="12.75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2:18" ht="12.75"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2:18" ht="12.75"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2:18" ht="12.75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2:18" ht="12.75"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2:18" ht="12.75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2:18" ht="12.75"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2:18" ht="12.75"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2:18" ht="12.75"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2:18" ht="12.75"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2:18" ht="12.75"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2:18" ht="12.75"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2:18" ht="12.75"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2:18" ht="12.75"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2:18" ht="12.75"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2:18" ht="12.75"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2:18" ht="12.75"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2:18" ht="12.75"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2:18" ht="12.75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2:18" ht="12.7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2:18" ht="12.7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2:18" ht="12.75"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2:18" ht="12.75"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2:18" ht="12.75"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2:18" ht="12.75"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2:18" ht="12.75"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2:18" ht="12.75"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2:18" ht="12.75"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2:18" ht="12.75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2:18" ht="12.75"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2:18" ht="12.75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2:18" ht="12.75"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2:18" ht="12.75"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2:18" ht="12.75"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2:18" ht="12.75"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2:18" ht="12.75"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2:18" ht="12.75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2:18" ht="12.75"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2:18" ht="12.75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2:18" ht="12.75"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2:18" ht="12.75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2:18" ht="12.75"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2:18" ht="12.75"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2:18" ht="12.75"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2:18" ht="12.75"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2:18" ht="12.75"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2:18" ht="12.75"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2:18" ht="12.75"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2:18" ht="12.75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2:18" ht="12.75"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2:18" ht="12.75"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2:18" ht="12.75"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2:18" ht="12.75"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2:18" ht="12.75"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2:18" ht="12.75"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2:18" ht="12.75"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2:18" ht="12.75"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2:18" ht="12.75"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2:18" ht="12.75"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2:18" ht="12.75"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2:18" ht="12.75"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2:18" ht="12.75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2:18" ht="12.75"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2:18" ht="12.75"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2:18" ht="12.75"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2:18" ht="12.75"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2:18" ht="12.75"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2:18" ht="12.75"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2:18" ht="12.75"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2:18" ht="12.75"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2:18" ht="12.75"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2:18" ht="12.75"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2:18" ht="12.75"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2:18" ht="12.75"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2:18" ht="12.75"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2:18" ht="12.75"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2:18" ht="12.75"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2:18" ht="12.75"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2:18" ht="12.75"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2:18" ht="12.75"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2:18" ht="12.75"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2:18" ht="12.75"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2:18" ht="12.75"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2:18" ht="12.75"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2:18" ht="12.75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2:18" ht="12.75"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2:18" ht="12.75"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2:18" ht="12.75"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2:18" ht="12.75"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2:18" ht="12.75"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2:18" ht="12.75"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2:18" ht="12.75"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2:18" ht="12.75"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2:18" ht="12.75"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2:18" ht="12.75"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2:18" ht="12.75"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2:18" ht="12.75"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2:18" ht="12.75"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2:18" ht="12.75"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2:18" ht="12.75"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2:18" ht="12.75"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2:18" ht="12.75"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2:18" ht="12.75"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2:18" ht="12.75"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2:18" ht="12.75"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2:18" ht="12.75"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2:18" ht="12.75"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2:18" ht="12.75"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2:18" ht="12.75"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2:18" ht="12.75"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2:18" ht="12.75"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2:18" ht="12.75"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2:18" ht="12.75"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2:18" ht="12.75"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2:18" ht="12.75"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2:18" ht="12.75"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2:18" ht="12.75"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2:18" ht="12.75"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2:18" ht="12.75"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2:18" ht="12.75"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2:18" ht="12.75"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2:18" ht="12.75"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2:18" ht="12.75"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2:18" ht="12.75"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2:18" ht="12.75"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2:18" ht="12.75"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2:18" ht="12.75"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2:18" ht="12.75"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2:18" ht="12.75"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2:18" ht="12.75"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2:18" ht="12.75"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2:18" ht="12.75"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2:18" ht="12.75"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2:18" ht="12.75"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2:18" ht="12.75"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2:18" ht="12.75"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2:18" ht="12.75"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2:18" ht="12.75"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2:18" ht="12.75"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2:18" ht="12.75"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2:18" ht="12.75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2:18" ht="12.75"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2:18" ht="12.75"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2:18" ht="12.75"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2:18" ht="12.75"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2:18" ht="12.75"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2:18" ht="12.75"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2:18" ht="12.75"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2:18" ht="12.75"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2:18" ht="12.75"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2:18" ht="12.75"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2:18" ht="12.75"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2:18" ht="12.75"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2:18" ht="12.75"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2:18" ht="12.75"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2:18" ht="12.75"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2:18" ht="12.75"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2:18" ht="12.75"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2:18" ht="12.75"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2:18" ht="12.75"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2:18" ht="12.75"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2:18" ht="12.75"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2:18" ht="12.75"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2:18" ht="12.75"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</sheetData>
  <sheetProtection/>
  <mergeCells count="39">
    <mergeCell ref="B90:C90"/>
    <mergeCell ref="D60:H60"/>
    <mergeCell ref="B75:H75"/>
    <mergeCell ref="D76:H76"/>
    <mergeCell ref="D86:H86"/>
    <mergeCell ref="D82:H82"/>
    <mergeCell ref="B89:H89"/>
    <mergeCell ref="B81:H81"/>
    <mergeCell ref="B30:H30"/>
    <mergeCell ref="H6:H7"/>
    <mergeCell ref="B11:H11"/>
    <mergeCell ref="D12:H12"/>
    <mergeCell ref="O6:O7"/>
    <mergeCell ref="K6:K7"/>
    <mergeCell ref="X6:X7"/>
    <mergeCell ref="W6:W7"/>
    <mergeCell ref="M6:M7"/>
    <mergeCell ref="F6:F7"/>
    <mergeCell ref="B6:B7"/>
    <mergeCell ref="C6:C7"/>
    <mergeCell ref="N6:N7"/>
    <mergeCell ref="J6:J7"/>
    <mergeCell ref="G6:G7"/>
    <mergeCell ref="B1:H1"/>
    <mergeCell ref="B2:H2"/>
    <mergeCell ref="B3:H3"/>
    <mergeCell ref="B4:H4"/>
    <mergeCell ref="E6:E7"/>
    <mergeCell ref="I6:I7"/>
    <mergeCell ref="Y6:Y7"/>
    <mergeCell ref="S6:S7"/>
    <mergeCell ref="P6:P7"/>
    <mergeCell ref="L6:L7"/>
    <mergeCell ref="Q6:Q7"/>
    <mergeCell ref="D6:D7"/>
    <mergeCell ref="R6:R7"/>
    <mergeCell ref="V6:V7"/>
    <mergeCell ref="T6:T7"/>
    <mergeCell ref="U6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Soto</dc:creator>
  <cp:keywords/>
  <dc:description/>
  <cp:lastModifiedBy>Valeria Tapia</cp:lastModifiedBy>
  <cp:lastPrinted>2015-12-07T18:23:44Z</cp:lastPrinted>
  <dcterms:created xsi:type="dcterms:W3CDTF">2014-05-23T16:25:07Z</dcterms:created>
  <dcterms:modified xsi:type="dcterms:W3CDTF">2015-12-10T13:14:19Z</dcterms:modified>
  <cp:category/>
  <cp:version/>
  <cp:contentType/>
  <cp:contentStatus/>
</cp:coreProperties>
</file>